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166925"/>
  <mc:AlternateContent xmlns:mc="http://schemas.openxmlformats.org/markup-compatibility/2006">
    <mc:Choice Requires="x15">
      <x15ac:absPath xmlns:x15ac="http://schemas.microsoft.com/office/spreadsheetml/2010/11/ac" url="D:\Self-Paced BI\Credit Builder\"/>
    </mc:Choice>
  </mc:AlternateContent>
  <xr:revisionPtr revIDLastSave="0" documentId="13_ncr:1_{29A485A9-5D3F-494C-B2E8-C63C654E6796}" xr6:coauthVersionLast="47" xr6:coauthVersionMax="47" xr10:uidLastSave="{00000000-0000-0000-0000-000000000000}"/>
  <bookViews>
    <workbookView xWindow="-28920" yWindow="-120" windowWidth="29040" windowHeight="16440" xr2:uid="{C07CD2BD-5A80-4E3F-9D47-0C2FF11335D4}"/>
  </bookViews>
  <sheets>
    <sheet name="Pivot Table" sheetId="1" r:id="rId1"/>
    <sheet name="Roll Rate Report" sheetId="2" r:id="rId2"/>
  </sheets>
  <definedNames>
    <definedName name="Slicer_Credit_Score_Group">#N/A</definedName>
    <definedName name="Slicer_DSR_Group">#N/A</definedName>
    <definedName name="Slicer_Province">#N/A</definedName>
    <definedName name="Slicer_Utilization_Group">#N/A</definedName>
    <definedName name="Slicer_Years_on_Book">#N/A</definedName>
  </definedNames>
  <calcPr calcId="191029"/>
  <pivotCaches>
    <pivotCache cacheId="6" r:id="rId3"/>
    <pivotCache cacheId="9" r:id="rId4"/>
  </pivotCaches>
  <extLst>
    <ext xmlns:x14="http://schemas.microsoft.com/office/spreadsheetml/2009/9/main" uri="{876F7934-8845-4945-9796-88D515C7AA90}">
      <x14:pivotCaches>
        <pivotCache cacheId="5" r:id="rId5"/>
      </x14:pivotCaches>
    </ext>
    <ext xmlns:x14="http://schemas.microsoft.com/office/spreadsheetml/2009/9/main" uri="{BBE1A952-AA13-448e-AADC-164F8A28A991}">
      <x14:slicerCaches>
        <x14:slicerCache r:id="rId6"/>
        <x14:slicerCache r:id="rId7"/>
        <x14:slicerCache r:id="rId8"/>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erformance_32261628-9608-4346-a966-fa7d2a3412a8" name="performance" connection="Query - performance"/>
          <x15:modelTable id="application_unique_6371bcb2-cd11-41f6-92b9-b1165d6bb39f" name="application_unique" connection="Query - application_unique"/>
        </x15:modelTables>
        <x15:modelRelationships>
          <x15:modelRelationship fromTable="performance" fromColumn="Card ID" toTable="application_unique" toColumn="Card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30" i="2" l="1"/>
  <c r="U27" i="2"/>
  <c r="U33" i="2"/>
  <c r="U36" i="2"/>
  <c r="O32" i="2"/>
  <c r="P34" i="2"/>
  <c r="P36" i="2"/>
  <c r="O27" i="2"/>
  <c r="K30" i="2"/>
  <c r="K27" i="2"/>
  <c r="K33" i="2"/>
  <c r="K36" i="2"/>
  <c r="C36" i="2"/>
  <c r="C30" i="2"/>
  <c r="C33" i="2"/>
  <c r="C27" i="2"/>
  <c r="AG20" i="2"/>
  <c r="AG17" i="2"/>
  <c r="AG14" i="2"/>
  <c r="AG11" i="2"/>
  <c r="Z11" i="2"/>
  <c r="C11" i="2"/>
  <c r="K20" i="2"/>
  <c r="K17" i="2"/>
  <c r="K14" i="2"/>
  <c r="G15" i="2"/>
  <c r="Z22" i="2"/>
  <c r="Z19" i="2"/>
  <c r="Z16" i="2"/>
  <c r="C19" i="2"/>
  <c r="Y21" i="2"/>
  <c r="Y18" i="2"/>
  <c r="Y15" i="2"/>
  <c r="Y12" i="2"/>
  <c r="R16" i="2"/>
  <c r="D21" i="2"/>
  <c r="D18" i="2"/>
  <c r="D15" i="2"/>
  <c r="D12" i="2"/>
  <c r="R15" i="2"/>
  <c r="C14" i="2"/>
  <c r="S14" i="2"/>
  <c r="C13" i="2"/>
  <c r="T38" i="2"/>
  <c r="T37" i="2"/>
  <c r="O38" i="2"/>
  <c r="P30" i="2"/>
  <c r="J38" i="2"/>
  <c r="J37" i="2"/>
  <c r="C35" i="2"/>
  <c r="C34" i="2"/>
  <c r="AG19" i="2"/>
  <c r="AG13" i="2"/>
  <c r="C20" i="2"/>
  <c r="K19" i="2"/>
  <c r="K13" i="2"/>
  <c r="Z21" i="2"/>
  <c r="G14" i="2"/>
  <c r="Y20" i="2"/>
  <c r="Y14" i="2"/>
  <c r="R11" i="2"/>
  <c r="D17" i="2"/>
  <c r="D11" i="2"/>
  <c r="T35" i="2"/>
  <c r="T34" i="2"/>
  <c r="O35" i="2"/>
  <c r="P27" i="2"/>
  <c r="J35" i="2"/>
  <c r="J34" i="2"/>
  <c r="C32" i="2"/>
  <c r="C31" i="2"/>
  <c r="L19" i="2"/>
  <c r="L13" i="2"/>
  <c r="C18" i="2"/>
  <c r="AF18" i="2"/>
  <c r="AF12" i="2"/>
  <c r="G21" i="2"/>
  <c r="Z12" i="2"/>
  <c r="F20" i="2"/>
  <c r="F14" i="2"/>
  <c r="S22" i="2"/>
  <c r="S16" i="2"/>
  <c r="C22" i="2"/>
  <c r="T32" i="2"/>
  <c r="T31" i="2"/>
  <c r="P32" i="2"/>
  <c r="O29" i="2"/>
  <c r="O31" i="2"/>
  <c r="O33" i="2"/>
  <c r="K32" i="2"/>
  <c r="J32" i="2"/>
  <c r="K31" i="2"/>
  <c r="J31" i="2"/>
  <c r="D32" i="2"/>
  <c r="C29" i="2"/>
  <c r="D28" i="2"/>
  <c r="AG21" i="2"/>
  <c r="AG18" i="2"/>
  <c r="AG12" i="2"/>
  <c r="C16" i="2"/>
  <c r="K18" i="2"/>
  <c r="K12" i="2"/>
  <c r="Z20" i="2"/>
  <c r="G11" i="2"/>
  <c r="Y19" i="2"/>
  <c r="Y13" i="2"/>
  <c r="D22" i="2"/>
  <c r="D16" i="2"/>
  <c r="R19" i="2"/>
  <c r="T29" i="2"/>
  <c r="T28" i="2"/>
  <c r="P37" i="2"/>
  <c r="O30" i="2"/>
  <c r="J29" i="2"/>
  <c r="J28" i="2"/>
  <c r="D27" i="2"/>
  <c r="D30" i="2"/>
  <c r="L18" i="2"/>
  <c r="L12" i="2"/>
  <c r="R13" i="2"/>
  <c r="AF17" i="2"/>
  <c r="K11" i="2"/>
  <c r="G20" i="2"/>
  <c r="R21" i="2"/>
  <c r="F19" i="2"/>
  <c r="F13" i="2"/>
  <c r="S21" i="2"/>
  <c r="T36" i="2"/>
  <c r="T27" i="2"/>
  <c r="T30" i="2"/>
  <c r="T33" i="2"/>
  <c r="P28" i="2"/>
  <c r="P31" i="2"/>
  <c r="P33" i="2"/>
  <c r="O36" i="2"/>
  <c r="J33" i="2"/>
  <c r="J30" i="2"/>
  <c r="J27" i="2"/>
  <c r="J36" i="2"/>
  <c r="C38" i="2"/>
  <c r="D37" i="2"/>
  <c r="C37" i="2"/>
  <c r="D36" i="2"/>
  <c r="L20" i="2"/>
  <c r="L17" i="2"/>
  <c r="L14" i="2"/>
  <c r="L11" i="2"/>
  <c r="R22" i="2"/>
  <c r="AF22" i="2"/>
  <c r="AF19" i="2"/>
  <c r="AF16" i="2"/>
  <c r="AF13" i="2"/>
  <c r="Z13" i="2"/>
  <c r="G22" i="2"/>
  <c r="G19" i="2"/>
  <c r="Z15" i="2"/>
  <c r="C17" i="2"/>
  <c r="F21" i="2"/>
  <c r="F18" i="2"/>
  <c r="F15" i="2"/>
  <c r="F12" i="2"/>
  <c r="S20" i="2"/>
  <c r="S17" i="2"/>
  <c r="S11" i="2"/>
  <c r="U38" i="2"/>
  <c r="U37" i="2"/>
  <c r="P38" i="2"/>
  <c r="O37" i="2"/>
  <c r="K38" i="2"/>
  <c r="K37" i="2"/>
  <c r="D38" i="2"/>
  <c r="D34" i="2"/>
  <c r="AG22" i="2"/>
  <c r="AG16" i="2"/>
  <c r="AF11" i="2"/>
  <c r="K22" i="2"/>
  <c r="K16" i="2"/>
  <c r="G12" i="2"/>
  <c r="Z18" i="2"/>
  <c r="R14" i="2"/>
  <c r="Y17" i="2"/>
  <c r="Y11" i="2"/>
  <c r="D20" i="2"/>
  <c r="D14" i="2"/>
  <c r="U35" i="2"/>
  <c r="U34" i="2"/>
  <c r="P35" i="2"/>
  <c r="O34" i="2"/>
  <c r="K35" i="2"/>
  <c r="K34" i="2"/>
  <c r="D35" i="2"/>
  <c r="D31" i="2"/>
  <c r="L22" i="2"/>
  <c r="L16" i="2"/>
  <c r="G16" i="2"/>
  <c r="AF21" i="2"/>
  <c r="AF15" i="2"/>
  <c r="C21" i="2"/>
  <c r="G18" i="2"/>
  <c r="C12" i="2"/>
  <c r="F17" i="2"/>
  <c r="F11" i="2"/>
  <c r="S19" i="2"/>
  <c r="S13" i="2"/>
  <c r="U32" i="2"/>
  <c r="U31" i="2"/>
  <c r="C28" i="2"/>
  <c r="AG15" i="2"/>
  <c r="Z14" i="2"/>
  <c r="K21" i="2"/>
  <c r="K15" i="2"/>
  <c r="C15" i="2"/>
  <c r="Z17" i="2"/>
  <c r="Y22" i="2"/>
  <c r="Y16" i="2"/>
  <c r="R20" i="2"/>
  <c r="D19" i="2"/>
  <c r="D13" i="2"/>
  <c r="U29" i="2"/>
  <c r="U28" i="2"/>
  <c r="P29" i="2"/>
  <c r="O28" i="2"/>
  <c r="K29" i="2"/>
  <c r="K28" i="2"/>
  <c r="D29" i="2"/>
  <c r="D33" i="2"/>
  <c r="L21" i="2"/>
  <c r="L15" i="2"/>
  <c r="G13" i="2"/>
  <c r="AF20" i="2"/>
  <c r="AF14" i="2"/>
  <c r="R12" i="2"/>
  <c r="G17" i="2"/>
  <c r="F22" i="2"/>
  <c r="F16" i="2"/>
  <c r="R18" i="2"/>
  <c r="S18" i="2"/>
  <c r="S12" i="2"/>
  <c r="S15" i="2"/>
  <c r="R17" i="2"/>
  <c r="C49" i="2" l="1"/>
  <c r="F49" i="2" s="1"/>
  <c r="U17" i="2"/>
  <c r="V15" i="2"/>
  <c r="X15" i="2"/>
  <c r="D47" i="2"/>
  <c r="T15" i="2"/>
  <c r="AD16" i="2" s="1"/>
  <c r="T12" i="2"/>
  <c r="AD13" i="2" s="1"/>
  <c r="X12" i="2"/>
  <c r="D44" i="2"/>
  <c r="V12" i="2"/>
  <c r="D50" i="2"/>
  <c r="T18" i="2"/>
  <c r="AD19" i="2" s="1"/>
  <c r="V18" i="2"/>
  <c r="X18" i="2"/>
  <c r="U18" i="2"/>
  <c r="C50" i="2"/>
  <c r="F50" i="2" s="1"/>
  <c r="I16" i="2"/>
  <c r="I22" i="2"/>
  <c r="H17" i="2"/>
  <c r="J17" i="2"/>
  <c r="U12" i="2"/>
  <c r="C44" i="2"/>
  <c r="F44" i="2" s="1"/>
  <c r="AI14" i="2"/>
  <c r="AI20" i="2"/>
  <c r="H13" i="2"/>
  <c r="J13" i="2"/>
  <c r="Q15" i="2"/>
  <c r="M15" i="2"/>
  <c r="W16" i="2" s="1"/>
  <c r="O15" i="2"/>
  <c r="Q21" i="2"/>
  <c r="O21" i="2"/>
  <c r="M21" i="2"/>
  <c r="W22" i="2" s="1"/>
  <c r="G33" i="2"/>
  <c r="I33" i="2"/>
  <c r="E33" i="2"/>
  <c r="I49" i="2"/>
  <c r="I45" i="2"/>
  <c r="E29" i="2"/>
  <c r="G29" i="2"/>
  <c r="I29" i="2"/>
  <c r="N28" i="2"/>
  <c r="L28" i="2"/>
  <c r="L29" i="2"/>
  <c r="N29" i="2"/>
  <c r="R28" i="2"/>
  <c r="Q29" i="2"/>
  <c r="S29" i="2"/>
  <c r="V28" i="2"/>
  <c r="X28" i="2"/>
  <c r="X29" i="2"/>
  <c r="V29" i="2"/>
  <c r="E13" i="2"/>
  <c r="E19" i="2"/>
  <c r="U20" i="2"/>
  <c r="C52" i="2"/>
  <c r="F52" i="2" s="1"/>
  <c r="AB16" i="2"/>
  <c r="AB22" i="2"/>
  <c r="AA17" i="2"/>
  <c r="AK18" i="2" s="1"/>
  <c r="AC17" i="2"/>
  <c r="AE17" i="2"/>
  <c r="N15" i="2"/>
  <c r="P15" i="2"/>
  <c r="N21" i="2"/>
  <c r="P21" i="2"/>
  <c r="AC14" i="2"/>
  <c r="AA14" i="2"/>
  <c r="AK15" i="2" s="1"/>
  <c r="AE14" i="2"/>
  <c r="AJ15" i="2"/>
  <c r="AL15" i="2"/>
  <c r="AH15" i="2"/>
  <c r="H44" i="2"/>
  <c r="K44" i="2" s="1"/>
  <c r="H28" i="2"/>
  <c r="F28" i="2"/>
  <c r="X31" i="2"/>
  <c r="V31" i="2"/>
  <c r="X32" i="2"/>
  <c r="V32" i="2"/>
  <c r="X13" i="2"/>
  <c r="V13" i="2"/>
  <c r="T13" i="2"/>
  <c r="AD14" i="2" s="1"/>
  <c r="D45" i="2"/>
  <c r="X19" i="2"/>
  <c r="D51" i="2"/>
  <c r="T19" i="2"/>
  <c r="AD20" i="2" s="1"/>
  <c r="V19" i="2"/>
  <c r="I11" i="2"/>
  <c r="I17" i="2"/>
  <c r="J18" i="2"/>
  <c r="H18" i="2"/>
  <c r="AI15" i="2"/>
  <c r="AI21" i="2"/>
  <c r="J16" i="2"/>
  <c r="H16" i="2"/>
  <c r="O16" i="2"/>
  <c r="Q16" i="2"/>
  <c r="M16" i="2"/>
  <c r="W17" i="2" s="1"/>
  <c r="M22" i="2"/>
  <c r="Q22" i="2"/>
  <c r="O22" i="2"/>
  <c r="I31" i="2"/>
  <c r="G31" i="2"/>
  <c r="E31" i="2"/>
  <c r="I47" i="2"/>
  <c r="I51" i="2"/>
  <c r="G35" i="2"/>
  <c r="I35" i="2"/>
  <c r="E35" i="2"/>
  <c r="L34" i="2"/>
  <c r="N34" i="2"/>
  <c r="L35" i="2"/>
  <c r="N35" i="2"/>
  <c r="R34" i="2"/>
  <c r="S35" i="2"/>
  <c r="Q35" i="2"/>
  <c r="X34" i="2"/>
  <c r="V34" i="2"/>
  <c r="V35" i="2"/>
  <c r="X35" i="2"/>
  <c r="E14" i="2"/>
  <c r="E20" i="2"/>
  <c r="AB11" i="2"/>
  <c r="AB17" i="2"/>
  <c r="C46" i="2"/>
  <c r="F46" i="2" s="1"/>
  <c r="U14" i="2"/>
  <c r="AE18" i="2"/>
  <c r="AA18" i="2"/>
  <c r="AK19" i="2" s="1"/>
  <c r="AC18" i="2"/>
  <c r="H12" i="2"/>
  <c r="J12" i="2"/>
  <c r="P16" i="2"/>
  <c r="N16" i="2"/>
  <c r="P22" i="2"/>
  <c r="N22" i="2"/>
  <c r="AI11" i="2"/>
  <c r="AH16" i="2"/>
  <c r="AJ16" i="2"/>
  <c r="AL16" i="2"/>
  <c r="AL22" i="2"/>
  <c r="AH22" i="2"/>
  <c r="AJ22" i="2"/>
  <c r="I34" i="2"/>
  <c r="I50" i="2"/>
  <c r="E34" i="2"/>
  <c r="G34" i="2"/>
  <c r="I54" i="2"/>
  <c r="I38" i="2"/>
  <c r="E38" i="2"/>
  <c r="G38" i="2"/>
  <c r="N37" i="2"/>
  <c r="L37" i="2"/>
  <c r="L38" i="2"/>
  <c r="N38" i="2"/>
  <c r="R37" i="2"/>
  <c r="S38" i="2"/>
  <c r="Q38" i="2"/>
  <c r="V37" i="2"/>
  <c r="X37" i="2"/>
  <c r="X38" i="2"/>
  <c r="V38" i="2"/>
  <c r="T11" i="2"/>
  <c r="AD12" i="2" s="1"/>
  <c r="V11" i="2"/>
  <c r="D43" i="2"/>
  <c r="X17" i="2"/>
  <c r="D49" i="2"/>
  <c r="T17" i="2"/>
  <c r="AD18" i="2" s="1"/>
  <c r="V17" i="2"/>
  <c r="T20" i="2"/>
  <c r="AD21" i="2" s="1"/>
  <c r="D52" i="2"/>
  <c r="V20" i="2"/>
  <c r="X20" i="2"/>
  <c r="I12" i="2"/>
  <c r="I15" i="2"/>
  <c r="I18" i="2"/>
  <c r="I21" i="2"/>
  <c r="AC15" i="2"/>
  <c r="AA15" i="2"/>
  <c r="AK16" i="2" s="1"/>
  <c r="AE15" i="2"/>
  <c r="H19" i="2"/>
  <c r="J19" i="2"/>
  <c r="H22" i="2"/>
  <c r="J22" i="2"/>
  <c r="AC13" i="2"/>
  <c r="AE13" i="2"/>
  <c r="AA13" i="2"/>
  <c r="AK14" i="2" s="1"/>
  <c r="AI13" i="2"/>
  <c r="AI16" i="2"/>
  <c r="AI19" i="2"/>
  <c r="AI22" i="2"/>
  <c r="U22" i="2"/>
  <c r="C54" i="2"/>
  <c r="F54" i="2" s="1"/>
  <c r="O11" i="2"/>
  <c r="M11" i="2"/>
  <c r="W12" i="2" s="1"/>
  <c r="Q14" i="2"/>
  <c r="O14" i="2"/>
  <c r="M14" i="2"/>
  <c r="W15" i="2" s="1"/>
  <c r="M17" i="2"/>
  <c r="W18" i="2" s="1"/>
  <c r="O17" i="2"/>
  <c r="Q17" i="2"/>
  <c r="Q20" i="2"/>
  <c r="M20" i="2"/>
  <c r="W21" i="2" s="1"/>
  <c r="O20" i="2"/>
  <c r="E36" i="2"/>
  <c r="I36" i="2"/>
  <c r="I52" i="2"/>
  <c r="G36" i="2"/>
  <c r="F37" i="2"/>
  <c r="H37" i="2"/>
  <c r="H53" i="2"/>
  <c r="K53" i="2" s="1"/>
  <c r="I37" i="2"/>
  <c r="E37" i="2"/>
  <c r="I53" i="2"/>
  <c r="G37" i="2"/>
  <c r="H38" i="2"/>
  <c r="F38" i="2"/>
  <c r="H54" i="2"/>
  <c r="K54" i="2" s="1"/>
  <c r="M36" i="2"/>
  <c r="M27" i="2"/>
  <c r="M30" i="2"/>
  <c r="M33" i="2"/>
  <c r="R36" i="2"/>
  <c r="Q33" i="2"/>
  <c r="S33" i="2"/>
  <c r="Q31" i="2"/>
  <c r="S31" i="2"/>
  <c r="S28" i="2"/>
  <c r="Q28" i="2"/>
  <c r="W33" i="2"/>
  <c r="W30" i="2"/>
  <c r="W27" i="2"/>
  <c r="W36" i="2"/>
  <c r="X21" i="2"/>
  <c r="D53" i="2"/>
  <c r="T21" i="2"/>
  <c r="AD22" i="2" s="1"/>
  <c r="V21" i="2"/>
  <c r="I13" i="2"/>
  <c r="I19" i="2"/>
  <c r="U21" i="2"/>
  <c r="C53" i="2"/>
  <c r="F53" i="2" s="1"/>
  <c r="H20" i="2"/>
  <c r="J20" i="2"/>
  <c r="N11" i="2"/>
  <c r="AI17" i="2"/>
  <c r="C45" i="2"/>
  <c r="F45" i="2" s="1"/>
  <c r="U13" i="2"/>
  <c r="O12" i="2"/>
  <c r="Q12" i="2"/>
  <c r="M12" i="2"/>
  <c r="W13" i="2" s="1"/>
  <c r="Q18" i="2"/>
  <c r="O18" i="2"/>
  <c r="M18" i="2"/>
  <c r="W19" i="2" s="1"/>
  <c r="E30" i="2"/>
  <c r="I30" i="2"/>
  <c r="G30" i="2"/>
  <c r="I46" i="2"/>
  <c r="I43" i="2"/>
  <c r="E27" i="2"/>
  <c r="G27" i="2"/>
  <c r="M28" i="2"/>
  <c r="M29" i="2"/>
  <c r="R30" i="2"/>
  <c r="Q37" i="2"/>
  <c r="S37" i="2"/>
  <c r="W28" i="2"/>
  <c r="W29" i="2"/>
  <c r="C51" i="2"/>
  <c r="F51" i="2" s="1"/>
  <c r="U19" i="2"/>
  <c r="E16" i="2"/>
  <c r="E22" i="2"/>
  <c r="AB13" i="2"/>
  <c r="AB19" i="2"/>
  <c r="J11" i="2"/>
  <c r="H11" i="2"/>
  <c r="AC20" i="2"/>
  <c r="AE20" i="2"/>
  <c r="AA20" i="2"/>
  <c r="AK21" i="2" s="1"/>
  <c r="N12" i="2"/>
  <c r="P12" i="2"/>
  <c r="N18" i="2"/>
  <c r="P18" i="2"/>
  <c r="AL12" i="2"/>
  <c r="AJ12" i="2"/>
  <c r="AH12" i="2"/>
  <c r="AH18" i="2"/>
  <c r="AJ18" i="2"/>
  <c r="AL18" i="2"/>
  <c r="AJ21" i="2"/>
  <c r="AL21" i="2"/>
  <c r="AH21" i="2"/>
  <c r="G28" i="2"/>
  <c r="I44" i="2"/>
  <c r="I28" i="2"/>
  <c r="E28" i="2"/>
  <c r="F29" i="2"/>
  <c r="H45" i="2"/>
  <c r="K45" i="2" s="1"/>
  <c r="H29" i="2"/>
  <c r="I32" i="2"/>
  <c r="E32" i="2"/>
  <c r="I48" i="2"/>
  <c r="G32" i="2"/>
  <c r="M31" i="2"/>
  <c r="N31" i="2"/>
  <c r="L31" i="2"/>
  <c r="M32" i="2"/>
  <c r="L32" i="2"/>
  <c r="N32" i="2"/>
  <c r="R33" i="2"/>
  <c r="R31" i="2"/>
  <c r="R29" i="2"/>
  <c r="Q32" i="2"/>
  <c r="S32" i="2"/>
  <c r="W31" i="2"/>
  <c r="W32" i="2"/>
  <c r="X16" i="2"/>
  <c r="D48" i="2"/>
  <c r="V16" i="2"/>
  <c r="T16" i="2"/>
  <c r="AD17" i="2" s="1"/>
  <c r="V22" i="2"/>
  <c r="X22" i="2"/>
  <c r="D54" i="2"/>
  <c r="T22" i="2"/>
  <c r="I14" i="2"/>
  <c r="I20" i="2"/>
  <c r="AC12" i="2"/>
  <c r="AA12" i="2"/>
  <c r="AK13" i="2" s="1"/>
  <c r="AE12" i="2"/>
  <c r="J21" i="2"/>
  <c r="H21" i="2"/>
  <c r="AI12" i="2"/>
  <c r="AI18" i="2"/>
  <c r="O13" i="2"/>
  <c r="M13" i="2"/>
  <c r="W14" i="2" s="1"/>
  <c r="Q13" i="2"/>
  <c r="Q19" i="2"/>
  <c r="O19" i="2"/>
  <c r="M19" i="2"/>
  <c r="W20" i="2" s="1"/>
  <c r="H47" i="2"/>
  <c r="K47" i="2" s="1"/>
  <c r="H31" i="2"/>
  <c r="F31" i="2"/>
  <c r="H48" i="2"/>
  <c r="K48" i="2" s="1"/>
  <c r="H32" i="2"/>
  <c r="F32" i="2"/>
  <c r="M34" i="2"/>
  <c r="M35" i="2"/>
  <c r="Q27" i="2"/>
  <c r="S27" i="2"/>
  <c r="R35" i="2"/>
  <c r="W34" i="2"/>
  <c r="W35" i="2"/>
  <c r="E11" i="2"/>
  <c r="B6" i="2"/>
  <c r="E17" i="2"/>
  <c r="U11" i="2"/>
  <c r="C43" i="2"/>
  <c r="F43" i="2" s="1"/>
  <c r="AB14" i="2"/>
  <c r="AB20" i="2"/>
  <c r="J14" i="2"/>
  <c r="H14" i="2"/>
  <c r="AC21" i="2"/>
  <c r="AE21" i="2"/>
  <c r="AA21" i="2"/>
  <c r="AK22" i="2" s="1"/>
  <c r="N13" i="2"/>
  <c r="P13" i="2"/>
  <c r="N19" i="2"/>
  <c r="P19" i="2"/>
  <c r="AL13" i="2"/>
  <c r="AH13" i="2"/>
  <c r="AJ13" i="2"/>
  <c r="AL19" i="2"/>
  <c r="AJ19" i="2"/>
  <c r="AH19" i="2"/>
  <c r="H34" i="2"/>
  <c r="F34" i="2"/>
  <c r="H50" i="2"/>
  <c r="K50" i="2" s="1"/>
  <c r="H51" i="2"/>
  <c r="K51" i="2" s="1"/>
  <c r="F35" i="2"/>
  <c r="H35" i="2"/>
  <c r="M37" i="2"/>
  <c r="M38" i="2"/>
  <c r="S30" i="2"/>
  <c r="Q30" i="2"/>
  <c r="R38" i="2"/>
  <c r="W37" i="2"/>
  <c r="W38" i="2"/>
  <c r="X14" i="2"/>
  <c r="T14" i="2"/>
  <c r="AD15" i="2" s="1"/>
  <c r="D46" i="2"/>
  <c r="V14" i="2"/>
  <c r="C47" i="2"/>
  <c r="F47" i="2" s="1"/>
  <c r="U15" i="2"/>
  <c r="E12" i="2"/>
  <c r="E15" i="2"/>
  <c r="E18" i="2"/>
  <c r="E21" i="2"/>
  <c r="U16" i="2"/>
  <c r="C48" i="2"/>
  <c r="F48" i="2" s="1"/>
  <c r="AB12" i="2"/>
  <c r="AB15" i="2"/>
  <c r="AB18" i="2"/>
  <c r="AB21" i="2"/>
  <c r="AE16" i="2"/>
  <c r="AA16" i="2"/>
  <c r="AK17" i="2" s="1"/>
  <c r="AC16" i="2"/>
  <c r="AE19" i="2"/>
  <c r="AA19" i="2"/>
  <c r="AK20" i="2" s="1"/>
  <c r="AC19" i="2"/>
  <c r="AE22" i="2"/>
  <c r="AC22" i="2"/>
  <c r="AA22" i="2"/>
  <c r="J15" i="2"/>
  <c r="H15" i="2"/>
  <c r="P14" i="2"/>
  <c r="N14" i="2"/>
  <c r="N17" i="2"/>
  <c r="P17" i="2"/>
  <c r="N20" i="2"/>
  <c r="P20" i="2"/>
  <c r="AA11" i="2"/>
  <c r="AK12" i="2" s="1"/>
  <c r="AC11" i="2"/>
  <c r="AH11" i="2"/>
  <c r="AJ11" i="2"/>
  <c r="AJ14" i="2"/>
  <c r="AL14" i="2"/>
  <c r="AH14" i="2"/>
  <c r="AL17" i="2"/>
  <c r="AJ17" i="2"/>
  <c r="AH17" i="2"/>
  <c r="AL20" i="2"/>
  <c r="AJ20" i="2"/>
  <c r="AH20" i="2"/>
  <c r="H43" i="2"/>
  <c r="K43" i="2" s="1"/>
  <c r="F27" i="2"/>
  <c r="F39" i="2" s="1"/>
  <c r="F33" i="2"/>
  <c r="H49" i="2"/>
  <c r="K49" i="2" s="1"/>
  <c r="H33" i="2"/>
  <c r="F30" i="2"/>
  <c r="H46" i="2"/>
  <c r="K46" i="2" s="1"/>
  <c r="H30" i="2"/>
  <c r="F36" i="2"/>
  <c r="H36" i="2"/>
  <c r="H52" i="2"/>
  <c r="K52" i="2" s="1"/>
  <c r="L36" i="2"/>
  <c r="N36" i="2"/>
  <c r="L33" i="2"/>
  <c r="N33" i="2"/>
  <c r="L27" i="2"/>
  <c r="N27" i="2"/>
  <c r="L30" i="2"/>
  <c r="N30" i="2"/>
  <c r="R27" i="2"/>
  <c r="R39" i="2" s="1"/>
  <c r="Q36" i="2"/>
  <c r="S36" i="2"/>
  <c r="Q34" i="2"/>
  <c r="S34" i="2"/>
  <c r="R32" i="2"/>
  <c r="V36" i="2"/>
  <c r="X36" i="2"/>
  <c r="X33" i="2"/>
  <c r="V33" i="2"/>
  <c r="X27" i="2"/>
  <c r="X39" i="2" s="1"/>
  <c r="V27" i="2"/>
  <c r="X30" i="2"/>
  <c r="V30" i="2"/>
  <c r="K55" i="2" l="1"/>
  <c r="L48" i="2"/>
  <c r="J48" i="2"/>
  <c r="G53" i="2"/>
  <c r="E53" i="2"/>
  <c r="S39" i="2"/>
  <c r="E46" i="2"/>
  <c r="G46" i="2"/>
  <c r="G48" i="2"/>
  <c r="E48" i="2"/>
  <c r="AI23" i="2"/>
  <c r="J51" i="2"/>
  <c r="L51" i="2"/>
  <c r="AE23" i="2"/>
  <c r="L6" i="2" s="1"/>
  <c r="G54" i="2"/>
  <c r="E54" i="2"/>
  <c r="P23" i="2"/>
  <c r="J23" i="2"/>
  <c r="W39" i="2"/>
  <c r="M39" i="2"/>
  <c r="AB23" i="2"/>
  <c r="L47" i="2"/>
  <c r="J47" i="2"/>
  <c r="L45" i="2"/>
  <c r="J45" i="2"/>
  <c r="AJ23" i="2"/>
  <c r="Q23" i="2"/>
  <c r="H6" i="2" s="1"/>
  <c r="L52" i="2"/>
  <c r="J52" i="2"/>
  <c r="W23" i="2"/>
  <c r="G52" i="2"/>
  <c r="E52" i="2"/>
  <c r="G43" i="2"/>
  <c r="E43" i="2"/>
  <c r="H39" i="2"/>
  <c r="L49" i="2"/>
  <c r="J49" i="2"/>
  <c r="F55" i="2"/>
  <c r="G39" i="2"/>
  <c r="O23" i="2"/>
  <c r="V23" i="2"/>
  <c r="G51" i="2"/>
  <c r="E51" i="2"/>
  <c r="G50" i="2"/>
  <c r="E50" i="2"/>
  <c r="G47" i="2"/>
  <c r="E47" i="2"/>
  <c r="U23" i="2"/>
  <c r="AD23" i="2"/>
  <c r="J50" i="2"/>
  <c r="L50" i="2"/>
  <c r="AC23" i="2"/>
  <c r="AL23" i="2"/>
  <c r="N6" i="2" s="1"/>
  <c r="AK23" i="2"/>
  <c r="I39" i="2"/>
  <c r="P6" i="2" s="1"/>
  <c r="L43" i="2"/>
  <c r="J43" i="2"/>
  <c r="E45" i="2"/>
  <c r="G45" i="2"/>
  <c r="G44" i="2"/>
  <c r="E44" i="2"/>
  <c r="N39" i="2"/>
  <c r="L44" i="2"/>
  <c r="J44" i="2"/>
  <c r="L46" i="2"/>
  <c r="J46" i="2"/>
  <c r="E49" i="2"/>
  <c r="G49" i="2"/>
  <c r="I23" i="2"/>
  <c r="X23" i="2"/>
  <c r="J6" i="2" s="1"/>
  <c r="N23" i="2"/>
  <c r="L53" i="2"/>
  <c r="J53" i="2"/>
  <c r="J54" i="2"/>
  <c r="L54" i="2"/>
  <c r="G55" i="2" l="1"/>
  <c r="D6" i="2" s="1"/>
  <c r="L55" i="2"/>
  <c r="F6" i="2"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EBEFAFF-225F-4CE6-9F88-F1460B38D58F}" keepAlive="1" name="Query - application" description="Connection to the 'application' query in the workbook." type="5" refreshedVersion="0" background="1">
    <dbPr connection="Provider=Microsoft.Mashup.OleDb.1;Data Source=$Workbook$;Location=application;Extended Properties=&quot;&quot;" command="SELECT * FROM [application]"/>
  </connection>
  <connection id="2" xr16:uid="{B7AB1430-8B20-4683-9871-CFCE08BAA570}" keepAlive="1" name="Query - application_duplicates" description="Connection to the 'application_duplicates' query in the workbook." type="5" refreshedVersion="0" background="1">
    <dbPr connection="Provider=Microsoft.Mashup.OleDb.1;Data Source=$Workbook$;Location=application_duplicates;Extended Properties=&quot;&quot;" command="SELECT * FROM [application_duplicates]"/>
  </connection>
  <connection id="3" xr16:uid="{6011A71E-9068-45C6-A1F6-4E23E5E9122F}" name="Query - application_unique" description="Connection to the 'application_unique' query in the workbook." type="100" refreshedVersion="8" minRefreshableVersion="5" saveData="1">
    <extLst>
      <ext xmlns:x15="http://schemas.microsoft.com/office/spreadsheetml/2010/11/main" uri="{DE250136-89BD-433C-8126-D09CA5730AF9}">
        <x15:connection id="31b9d3e3-53b5-4295-9d0e-e4e543d8628f"/>
      </ext>
    </extLst>
  </connection>
  <connection id="4" xr16:uid="{066902D9-943D-4BFC-BCDC-ABFFDEA90A16}" name="Query - performance" description="Connection to the 'performance' query in the workbook." type="100" refreshedVersion="8" minRefreshableVersion="5">
    <extLst>
      <ext xmlns:x15="http://schemas.microsoft.com/office/spreadsheetml/2010/11/main" uri="{DE250136-89BD-433C-8126-D09CA5730AF9}">
        <x15:connection id="ba0db37e-475e-4229-b2c9-9944e6f1a6ae"/>
      </ext>
    </extLst>
  </connection>
  <connection id="5" xr16:uid="{C8E90631-BFF7-4E69-B20A-EDB5180CE4C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<sst xmlns="http://schemas.openxmlformats.org/spreadsheetml/2006/main" count="130" uniqueCount="49">
  <si>
    <t>Row Labels</t>
  </si>
  <si>
    <t>Grand Total</t>
  </si>
  <si>
    <t>Column Labels</t>
  </si>
  <si>
    <t>0</t>
  </si>
  <si>
    <t>1</t>
  </si>
  <si>
    <t>2</t>
  </si>
  <si>
    <t>3</t>
  </si>
  <si>
    <t>4</t>
  </si>
  <si>
    <t>Charged-Off (Deceased)</t>
  </si>
  <si>
    <t>Charged-Off (Fraud)</t>
  </si>
  <si>
    <t>Charged-Off (Insolvent)</t>
  </si>
  <si>
    <t>Count of Card ID</t>
  </si>
  <si>
    <t>Sum of Balance</t>
  </si>
  <si>
    <t>Month</t>
  </si>
  <si>
    <t>Total #</t>
  </si>
  <si>
    <t>Total $</t>
  </si>
  <si>
    <t>Avg Balance</t>
  </si>
  <si>
    <t>Total Assets Under Management</t>
  </si>
  <si>
    <t>% of Balance</t>
  </si>
  <si>
    <t>12-Month Average</t>
  </si>
  <si>
    <t>Cycle 1 (1 to 30 Days Past Due)</t>
  </si>
  <si>
    <t>Current (0 Days Past Due)</t>
  </si>
  <si>
    <t>Roll Rate #</t>
  </si>
  <si>
    <t>Roll Rate $</t>
  </si>
  <si>
    <t>Cycle 2 (31 to 60 Days Past Due)</t>
  </si>
  <si>
    <t>Cycle 3 (61 to 90 Days Past Due)</t>
  </si>
  <si>
    <t>Cycle 4 (91 to 120 Days Past Due)</t>
  </si>
  <si>
    <t>Charged-Off (Aged) (121+ Days Past Due)</t>
  </si>
  <si>
    <t>% of Accounts</t>
  </si>
  <si>
    <t>Total Delinquency</t>
  </si>
  <si>
    <t>Total Losses</t>
  </si>
  <si>
    <t>Delinquency #</t>
  </si>
  <si>
    <t>Delinquency $</t>
  </si>
  <si>
    <t>Annualized Loss Rate #</t>
  </si>
  <si>
    <t>Anualized Loss Rate $</t>
  </si>
  <si>
    <t>Roll Rate Summary Report</t>
  </si>
  <si>
    <t>for the year ended December 31, 2020</t>
  </si>
  <si>
    <t>Average Receivables</t>
  </si>
  <si>
    <t>Average Delinquency</t>
  </si>
  <si>
    <t>Average Loss Rate</t>
  </si>
  <si>
    <t>Cycle 1 Roll Rate</t>
  </si>
  <si>
    <t>Cycle 2 Roll Rate</t>
  </si>
  <si>
    <t>Cycle 3 Roll Rate</t>
  </si>
  <si>
    <t>Cycle 4 Roll Rate</t>
  </si>
  <si>
    <t>Charged-Off Roll Rate</t>
  </si>
  <si>
    <t>A</t>
  </si>
  <si>
    <t>B</t>
  </si>
  <si>
    <t>D</t>
  </si>
  <si>
    <t>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</si>
</sst>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2" formatCode="_(&quot;$&quot;* #,##0_);_(&quot;$&quot;* \(#,##0\);_(&quot;$&quot;* &quot;-&quot;_);_(@_)"/>
    <numFmt numFmtId="44" formatCode="_(&quot;$&quot;* #,##0.00_);_(&quot;$&quot;* \(#,##0.00\);_(&quot;$&quot;* &quot;-&quot;??_);_(@_)"/>
    <numFmt numFmtId="43" formatCode="_(* #,##0.00_);_(* \(#,##0.00\);_(* &quot;-&quot;??_);_(@_)"/>
    <numFmt numFmtId="164" formatCode="yyyy\-mm\-dd;@"/>
    <numFmt numFmtId="165" formatCode="_(&quot;$&quot;* #,##0_);_(&quot;$&quot;* \(#,##0\);_(&quot;$&quot;* &quot;-&quot;??_);_(@_)"/>
    <numFmt numFmtId="166" formatCode="&quot;$&quot;#,##0"/>
  </numFmts>
  <fonts count="6" x14ac:knownFonts="1">
    <font>
      <sz val="11"/>
      <color theme="1"/>
      <name val="Calibri"/>
      <family val="2"/>
    </font>
    <font>
      <sz val="11"/>
      <color theme="1"/>
      <name val="Calibri"/>
      <family val="2"/>
    </font>
    <font>
      <sz val="11"/>
      <color theme="0"/>
      <name val="Calibri"/>
      <family val="2"/>
    </font>
    <font>
      <sz val="14"/>
      <color theme="0"/>
      <name val="Calibri"/>
      <family val="2"/>
    </font>
    <font>
      <sz val="12"/>
      <color theme="0"/>
      <name val="Calibri"/>
      <family val="2"/>
    </font>
    <font>
      <sz val="22"/>
      <color theme="1"/>
      <name val="Calibri"/>
      <family val="2"/>
    </font>
  </fonts>
  <fills count="7">
    <fill>
      <patternFill patternType="none"/>
    </fill>
    <fill>
      <patternFill patternType="gray125"/>
    </fill>
    <fill>
      <patternFill patternType="solid">
        <fgColor theme="1" tint="0.34998626667073579"/>
        <bgColor indexed="64"/>
      </patternFill>
    </fill>
    <fill>
      <patternFill patternType="solid">
        <fgColor theme="0"/>
        <bgColor indexed="64"/>
      </patternFill>
    </fill>
    <fill>
      <patternFill patternType="solid">
        <fgColor theme="9" tint="-0.499984740745262"/>
        <bgColor indexed="64"/>
      </patternFill>
    </fill>
    <fill>
      <patternFill patternType="solid">
        <fgColor theme="7" tint="-0.499984740745262"/>
        <bgColor indexed="64"/>
      </patternFill>
    </fill>
    <fill>
      <patternFill patternType="solid">
        <fgColor rgb="FFC00000"/>
        <bgColor indexed="64"/>
      </patternFill>
    </fill>
  </fills>
  <borders count="32">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top style="medium">
        <color indexed="64"/>
      </top>
      <bottom style="medium">
        <color indexed="64"/>
      </bottom>
      <diagonal/>
    </border>
    <border>
      <left style="thin">
        <color indexed="64"/>
      </left>
      <right style="medium">
        <color indexed="64"/>
      </right>
      <top/>
      <bottom style="thin">
        <color indexed="64"/>
      </bottom>
      <diagonal/>
    </border>
    <border>
      <left style="thin">
        <color indexed="64"/>
      </left>
      <right style="medium">
        <color indexed="64"/>
      </right>
      <top style="thin">
        <color indexed="64"/>
      </top>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4">
    <xf numFmtId="0" fontId="0" fillId="0" borderId="0"/>
    <xf numFmtId="43" fontId="1" fillId="0" borderId="0" applyFont="0" applyFill="0" applyBorder="0" applyAlignment="0" applyProtection="0"/>
    <xf numFmtId="44" fontId="1" fillId="0" borderId="0" applyFont="0" applyFill="0" applyBorder="0" applyAlignment="0" applyProtection="0"/>
    <xf numFmtId="9" fontId="1" fillId="0" borderId="0" applyFont="0" applyFill="0" applyBorder="0" applyAlignment="0" applyProtection="0"/>
  </cellStyleXfs>
  <cellXfs count="92">
    <xf numFmtId="0" fontId="0" fillId="0" borderId="0" xfId="0"/>
    <xf numFmtId="0" fontId="0" fillId="0" borderId="0" xfId="0" pivotButton="1"/>
    <xf numFmtId="164" fontId="0" fillId="0" borderId="0" xfId="0" applyNumberFormat="1" applyAlignment="1">
      <alignment horizontal="left"/>
    </xf>
    <xf numFmtId="3" fontId="0" fillId="0" borderId="0" xfId="0" applyNumberFormat="1"/>
    <xf numFmtId="42" fontId="0" fillId="0" borderId="0" xfId="0" applyNumberFormat="1"/>
    <xf numFmtId="0" fontId="0" fillId="0" borderId="0" xfId="0" applyAlignment="1">
      <alignment horizontal="center"/>
    </xf>
    <xf numFmtId="165" fontId="0" fillId="3" borderId="1" xfId="2" applyNumberFormat="1" applyFont="1" applyFill="1" applyBorder="1" applyAlignment="1">
      <alignment horizontal="center"/>
    </xf>
    <xf numFmtId="10" fontId="0" fillId="0" borderId="1" xfId="3" applyNumberFormat="1" applyFont="1" applyBorder="1" applyAlignment="1">
      <alignment horizontal="center"/>
    </xf>
    <xf numFmtId="0" fontId="2" fillId="2" borderId="3" xfId="0" applyFont="1" applyFill="1" applyBorder="1" applyAlignment="1">
      <alignment horizontal="center"/>
    </xf>
    <xf numFmtId="164" fontId="2" fillId="2" borderId="3" xfId="0" applyNumberFormat="1" applyFont="1" applyFill="1" applyBorder="1" applyAlignment="1">
      <alignment horizontal="center"/>
    </xf>
    <xf numFmtId="3" fontId="0" fillId="3" borderId="7" xfId="1" applyNumberFormat="1" applyFont="1" applyFill="1" applyBorder="1" applyAlignment="1">
      <alignment horizontal="center"/>
    </xf>
    <xf numFmtId="165" fontId="0" fillId="3" borderId="8" xfId="2" applyNumberFormat="1" applyFont="1" applyFill="1" applyBorder="1" applyAlignment="1">
      <alignment horizontal="center"/>
    </xf>
    <xf numFmtId="3" fontId="0" fillId="3" borderId="9" xfId="1" applyNumberFormat="1" applyFont="1" applyFill="1" applyBorder="1" applyAlignment="1">
      <alignment horizontal="center"/>
    </xf>
    <xf numFmtId="165" fontId="0" fillId="3" borderId="10" xfId="2" applyNumberFormat="1" applyFont="1" applyFill="1" applyBorder="1" applyAlignment="1">
      <alignment horizontal="center"/>
    </xf>
    <xf numFmtId="165" fontId="0" fillId="3" borderId="11" xfId="2" applyNumberFormat="1" applyFont="1" applyFill="1" applyBorder="1" applyAlignment="1">
      <alignment horizontal="center"/>
    </xf>
    <xf numFmtId="10" fontId="0" fillId="0" borderId="8" xfId="3" applyNumberFormat="1" applyFont="1" applyBorder="1" applyAlignment="1">
      <alignment horizontal="center"/>
    </xf>
    <xf numFmtId="10" fontId="0" fillId="0" borderId="10" xfId="3" applyNumberFormat="1" applyFont="1" applyBorder="1" applyAlignment="1">
      <alignment horizontal="center"/>
    </xf>
    <xf numFmtId="164" fontId="2" fillId="2" borderId="18" xfId="0" applyNumberFormat="1" applyFont="1" applyFill="1" applyBorder="1" applyAlignment="1">
      <alignment horizontal="center"/>
    </xf>
    <xf numFmtId="164" fontId="2" fillId="2" borderId="19" xfId="0" applyNumberFormat="1" applyFont="1" applyFill="1" applyBorder="1" applyAlignment="1">
      <alignment horizontal="center"/>
    </xf>
    <xf numFmtId="10" fontId="0" fillId="0" borderId="3" xfId="3" applyNumberFormat="1" applyFont="1" applyBorder="1" applyAlignment="1">
      <alignment horizontal="center"/>
    </xf>
    <xf numFmtId="10" fontId="0" fillId="0" borderId="13" xfId="3" applyNumberFormat="1" applyFont="1" applyBorder="1" applyAlignment="1">
      <alignment horizontal="center"/>
    </xf>
    <xf numFmtId="0" fontId="0" fillId="0" borderId="0" xfId="0" applyAlignment="1">
      <alignment wrapText="1"/>
    </xf>
    <xf numFmtId="0" fontId="2" fillId="2" borderId="3" xfId="0" applyFont="1" applyFill="1" applyBorder="1" applyAlignment="1">
      <alignment horizontal="center" vertical="center" wrapText="1"/>
    </xf>
    <xf numFmtId="0" fontId="2" fillId="5" borderId="7"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2" borderId="17"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8" xfId="0" applyFont="1" applyFill="1" applyBorder="1" applyAlignment="1">
      <alignment horizontal="center" vertical="center"/>
    </xf>
    <xf numFmtId="0" fontId="2" fillId="4" borderId="7" xfId="0" applyFont="1" applyFill="1" applyBorder="1" applyAlignment="1">
      <alignment horizontal="center" vertical="center"/>
    </xf>
    <xf numFmtId="0" fontId="2" fillId="4" borderId="1" xfId="0" applyFont="1" applyFill="1" applyBorder="1" applyAlignment="1">
      <alignment horizontal="center" vertical="center"/>
    </xf>
    <xf numFmtId="0" fontId="2" fillId="4" borderId="3" xfId="0" applyFont="1" applyFill="1" applyBorder="1" applyAlignment="1">
      <alignment horizontal="center" vertical="center"/>
    </xf>
    <xf numFmtId="0" fontId="2" fillId="5" borderId="7" xfId="0" applyFont="1" applyFill="1" applyBorder="1" applyAlignment="1">
      <alignment horizontal="center" vertical="center"/>
    </xf>
    <xf numFmtId="0" fontId="2" fillId="5" borderId="1" xfId="0" applyFont="1" applyFill="1" applyBorder="1" applyAlignment="1">
      <alignment horizontal="center" vertical="center"/>
    </xf>
    <xf numFmtId="0" fontId="2" fillId="6" borderId="7" xfId="0" applyFont="1" applyFill="1" applyBorder="1" applyAlignment="1">
      <alignment horizontal="center" vertical="center"/>
    </xf>
    <xf numFmtId="0" fontId="2" fillId="6" borderId="1" xfId="0" applyFont="1" applyFill="1" applyBorder="1" applyAlignment="1">
      <alignment horizontal="center" vertical="center"/>
    </xf>
    <xf numFmtId="10" fontId="2" fillId="4" borderId="16" xfId="3" applyNumberFormat="1" applyFont="1" applyFill="1" applyBorder="1" applyAlignment="1">
      <alignment horizontal="center" vertical="center"/>
    </xf>
    <xf numFmtId="10" fontId="2" fillId="4" borderId="20" xfId="3" applyNumberFormat="1" applyFont="1" applyFill="1" applyBorder="1" applyAlignment="1">
      <alignment horizontal="center" vertical="center"/>
    </xf>
    <xf numFmtId="10" fontId="2" fillId="5" borderId="10" xfId="3" applyNumberFormat="1" applyFont="1" applyFill="1" applyBorder="1" applyAlignment="1">
      <alignment horizontal="center" vertical="center"/>
    </xf>
    <xf numFmtId="10" fontId="2" fillId="5" borderId="11" xfId="3" applyNumberFormat="1" applyFont="1" applyFill="1" applyBorder="1" applyAlignment="1">
      <alignment horizontal="center" vertical="center"/>
    </xf>
    <xf numFmtId="10" fontId="2" fillId="6" borderId="10" xfId="3" applyNumberFormat="1" applyFont="1" applyFill="1" applyBorder="1" applyAlignment="1">
      <alignment horizontal="center" vertical="center"/>
    </xf>
    <xf numFmtId="10" fontId="2" fillId="6" borderId="11" xfId="3" applyNumberFormat="1" applyFont="1" applyFill="1" applyBorder="1" applyAlignment="1">
      <alignment horizontal="center" vertical="center"/>
    </xf>
    <xf numFmtId="0" fontId="2" fillId="6" borderId="7" xfId="0" applyFont="1" applyFill="1" applyBorder="1" applyAlignment="1">
      <alignment horizontal="center" vertical="center" wrapText="1"/>
    </xf>
    <xf numFmtId="0" fontId="2" fillId="6" borderId="1" xfId="0" applyFont="1" applyFill="1" applyBorder="1" applyAlignment="1">
      <alignment horizontal="center" vertical="center" wrapText="1"/>
    </xf>
    <xf numFmtId="14" fontId="0" fillId="0" borderId="0" xfId="0" applyNumberFormat="1" applyAlignment="1">
      <alignment horizontal="left"/>
    </xf>
    <xf numFmtId="10" fontId="5" fillId="0" borderId="28" xfId="0" applyNumberFormat="1" applyFont="1" applyBorder="1" applyAlignment="1">
      <alignment horizontal="center" vertical="center"/>
    </xf>
    <xf numFmtId="10" fontId="5" fillId="0" borderId="29" xfId="0" applyNumberFormat="1" applyFont="1" applyBorder="1" applyAlignment="1">
      <alignment horizontal="center" vertical="center"/>
    </xf>
    <xf numFmtId="10" fontId="5" fillId="0" borderId="30" xfId="0" applyNumberFormat="1" applyFont="1" applyBorder="1" applyAlignment="1">
      <alignment horizontal="center" vertical="center"/>
    </xf>
    <xf numFmtId="10" fontId="5" fillId="0" borderId="31" xfId="0" applyNumberFormat="1" applyFont="1" applyBorder="1" applyAlignment="1">
      <alignment horizontal="center" vertical="center"/>
    </xf>
    <xf numFmtId="166" fontId="5" fillId="0" borderId="28" xfId="0" applyNumberFormat="1" applyFont="1" applyBorder="1" applyAlignment="1">
      <alignment horizontal="center" vertical="center"/>
    </xf>
    <xf numFmtId="166" fontId="5" fillId="0" borderId="29" xfId="0" applyNumberFormat="1" applyFont="1" applyBorder="1" applyAlignment="1">
      <alignment horizontal="center" vertical="center"/>
    </xf>
    <xf numFmtId="166" fontId="5" fillId="0" borderId="30" xfId="0" applyNumberFormat="1" applyFont="1" applyBorder="1" applyAlignment="1">
      <alignment horizontal="center" vertical="center"/>
    </xf>
    <xf numFmtId="166" fontId="5" fillId="0" borderId="31" xfId="0" applyNumberFormat="1" applyFont="1" applyBorder="1" applyAlignment="1">
      <alignment horizontal="center" vertical="center"/>
    </xf>
    <xf numFmtId="0" fontId="3" fillId="2" borderId="0" xfId="0" applyFont="1" applyFill="1" applyAlignment="1">
      <alignment horizontal="center" vertical="center"/>
    </xf>
    <xf numFmtId="0" fontId="4" fillId="2" borderId="0" xfId="0" applyFont="1" applyFill="1" applyAlignment="1">
      <alignment horizontal="center" vertical="center"/>
    </xf>
    <xf numFmtId="0" fontId="2" fillId="2" borderId="26" xfId="0" applyFont="1" applyFill="1" applyBorder="1" applyAlignment="1">
      <alignment horizontal="center"/>
    </xf>
    <xf numFmtId="0" fontId="2" fillId="2" borderId="27" xfId="0" applyFont="1" applyFill="1" applyBorder="1" applyAlignment="1">
      <alignment horizontal="center"/>
    </xf>
    <xf numFmtId="0" fontId="2" fillId="6" borderId="9" xfId="0" applyFont="1" applyFill="1" applyBorder="1" applyAlignment="1">
      <alignment horizontal="center" vertical="center"/>
    </xf>
    <xf numFmtId="0" fontId="2" fillId="6" borderId="10" xfId="0" applyFont="1" applyFill="1" applyBorder="1" applyAlignment="1">
      <alignment horizontal="center" vertical="center"/>
    </xf>
    <xf numFmtId="0" fontId="2" fillId="5" borderId="23" xfId="0" applyFont="1" applyFill="1" applyBorder="1" applyAlignment="1">
      <alignment horizontal="center"/>
    </xf>
    <xf numFmtId="0" fontId="2" fillId="5" borderId="24" xfId="0" applyFont="1" applyFill="1" applyBorder="1" applyAlignment="1">
      <alignment horizontal="center"/>
    </xf>
    <xf numFmtId="0" fontId="2" fillId="5" borderId="25" xfId="0" applyFont="1" applyFill="1" applyBorder="1" applyAlignment="1">
      <alignment horizontal="center"/>
    </xf>
    <xf numFmtId="0" fontId="2" fillId="5" borderId="9" xfId="0" applyFont="1" applyFill="1" applyBorder="1" applyAlignment="1">
      <alignment horizontal="center" vertical="center"/>
    </xf>
    <xf numFmtId="0" fontId="2" fillId="5" borderId="10" xfId="0" applyFont="1" applyFill="1" applyBorder="1" applyAlignment="1">
      <alignment horizontal="center" vertical="center"/>
    </xf>
    <xf numFmtId="0" fontId="2" fillId="6" borderId="23" xfId="0" applyFont="1" applyFill="1" applyBorder="1" applyAlignment="1">
      <alignment horizontal="center"/>
    </xf>
    <xf numFmtId="0" fontId="2" fillId="6" borderId="24" xfId="0" applyFont="1" applyFill="1" applyBorder="1" applyAlignment="1">
      <alignment horizontal="center"/>
    </xf>
    <xf numFmtId="0" fontId="2" fillId="6" borderId="25" xfId="0" applyFont="1" applyFill="1" applyBorder="1" applyAlignment="1">
      <alignment horizontal="center"/>
    </xf>
    <xf numFmtId="0" fontId="2" fillId="5" borderId="4" xfId="0" applyFont="1" applyFill="1" applyBorder="1" applyAlignment="1">
      <alignment horizontal="center" vertical="center"/>
    </xf>
    <xf numFmtId="0" fontId="2" fillId="5" borderId="5" xfId="0" applyFont="1" applyFill="1" applyBorder="1" applyAlignment="1">
      <alignment horizontal="center" vertical="center"/>
    </xf>
    <xf numFmtId="0" fontId="2" fillId="5" borderId="6" xfId="0" applyFont="1" applyFill="1" applyBorder="1" applyAlignment="1">
      <alignment horizontal="center" vertical="center"/>
    </xf>
    <xf numFmtId="0" fontId="2" fillId="5" borderId="2" xfId="0" applyFont="1" applyFill="1" applyBorder="1" applyAlignment="1">
      <alignment horizontal="center" vertical="center"/>
    </xf>
    <xf numFmtId="0" fontId="2" fillId="5" borderId="14" xfId="0" applyFont="1" applyFill="1" applyBorder="1" applyAlignment="1">
      <alignment horizontal="center" vertical="center"/>
    </xf>
    <xf numFmtId="0" fontId="2" fillId="5" borderId="22" xfId="0" applyFont="1" applyFill="1" applyBorder="1" applyAlignment="1">
      <alignment horizontal="center" vertical="center"/>
    </xf>
    <xf numFmtId="0" fontId="2" fillId="5" borderId="21" xfId="0" applyFont="1" applyFill="1" applyBorder="1" applyAlignment="1">
      <alignment horizontal="center" vertical="center"/>
    </xf>
    <xf numFmtId="0" fontId="2" fillId="6" borderId="4" xfId="0" applyFont="1" applyFill="1" applyBorder="1" applyAlignment="1">
      <alignment horizontal="center" vertical="center"/>
    </xf>
    <xf numFmtId="0" fontId="2" fillId="6" borderId="5" xfId="0" applyFont="1" applyFill="1" applyBorder="1" applyAlignment="1">
      <alignment horizontal="center" vertical="center"/>
    </xf>
    <xf numFmtId="0" fontId="2" fillId="6" borderId="6" xfId="0" applyFont="1" applyFill="1" applyBorder="1" applyAlignment="1">
      <alignment horizontal="center" vertical="center"/>
    </xf>
    <xf numFmtId="0" fontId="2" fillId="6" borderId="23" xfId="0" applyFont="1" applyFill="1" applyBorder="1" applyAlignment="1">
      <alignment horizontal="center" vertical="center"/>
    </xf>
    <xf numFmtId="0" fontId="2" fillId="6" borderId="24" xfId="0" applyFont="1" applyFill="1" applyBorder="1" applyAlignment="1">
      <alignment horizontal="center" vertical="center"/>
    </xf>
    <xf numFmtId="0" fontId="2" fillId="6" borderId="25" xfId="0" applyFont="1" applyFill="1" applyBorder="1" applyAlignment="1">
      <alignment horizontal="center" vertical="center"/>
    </xf>
    <xf numFmtId="0" fontId="2" fillId="2" borderId="4" xfId="0" applyFont="1" applyFill="1" applyBorder="1" applyAlignment="1">
      <alignment horizontal="center" vertical="center"/>
    </xf>
    <xf numFmtId="0" fontId="2" fillId="2" borderId="5" xfId="0" applyFont="1" applyFill="1" applyBorder="1" applyAlignment="1">
      <alignment horizontal="center" vertical="center"/>
    </xf>
    <xf numFmtId="0" fontId="2" fillId="2" borderId="6" xfId="0" applyFont="1" applyFill="1" applyBorder="1" applyAlignment="1">
      <alignment horizontal="center" vertical="center"/>
    </xf>
    <xf numFmtId="0" fontId="2" fillId="6" borderId="2" xfId="0" applyFont="1" applyFill="1" applyBorder="1" applyAlignment="1">
      <alignment horizontal="center" vertical="center"/>
    </xf>
    <xf numFmtId="0" fontId="2" fillId="6" borderId="14" xfId="0" applyFont="1" applyFill="1" applyBorder="1" applyAlignment="1">
      <alignment horizontal="center" vertical="center"/>
    </xf>
    <xf numFmtId="0" fontId="2" fillId="6" borderId="22" xfId="0" applyFont="1" applyFill="1" applyBorder="1" applyAlignment="1">
      <alignment horizontal="center" vertical="center"/>
    </xf>
    <xf numFmtId="0" fontId="2" fillId="6" borderId="21" xfId="0" applyFont="1" applyFill="1" applyBorder="1" applyAlignment="1">
      <alignment horizontal="center" vertical="center"/>
    </xf>
    <xf numFmtId="0" fontId="2" fillId="4" borderId="4" xfId="0" applyFont="1" applyFill="1" applyBorder="1" applyAlignment="1">
      <alignment horizontal="center" vertical="center"/>
    </xf>
    <xf numFmtId="0" fontId="2" fillId="4" borderId="5" xfId="0" applyFont="1" applyFill="1" applyBorder="1" applyAlignment="1">
      <alignment horizontal="center" vertical="center"/>
    </xf>
    <xf numFmtId="0" fontId="2" fillId="4" borderId="12" xfId="0" applyFont="1" applyFill="1" applyBorder="1" applyAlignment="1">
      <alignment horizontal="center" vertical="center"/>
    </xf>
    <xf numFmtId="0" fontId="2" fillId="4" borderId="15" xfId="0" applyFont="1" applyFill="1" applyBorder="1" applyAlignment="1">
      <alignment horizontal="center" vertical="center"/>
    </xf>
    <xf numFmtId="0" fontId="2" fillId="4" borderId="16" xfId="0" applyFont="1" applyFill="1" applyBorder="1" applyAlignment="1">
      <alignment horizontal="center" vertical="center"/>
    </xf>
  </cellXfs>
  <cellStyles count="4">
    <cellStyle name="Comma" xfId="1" builtinId="3"/>
    <cellStyle name="Currency" xfId="2" builtinId="4"/>
    <cellStyle name="Normal" xfId="0" builtinId="0"/>
    <cellStyle name="Percent" xfId="3" builtinId="5"/>
  </cellStyles>
  <dxfs count="7">
    <dxf>
      <numFmt numFmtId="32" formatCode="_(&quot;$&quot;* #,##0_);_(&quot;$&quot;* \(#,##0\);_(&quot;$&quot;* &quot;-&quot;_);_(@_)"/>
    </dxf>
    <dxf>
      <alignment horizontal="center"/>
    </dxf>
    <dxf>
      <alignment horizontal="center"/>
    </dxf>
    <dxf>
      <numFmt numFmtId="3" formatCode="#,##0"/>
    </dxf>
    <dxf>
      <numFmt numFmtId="164" formatCode="yyyy\-mm\-dd;@"/>
    </dxf>
    <dxf>
      <alignment horizontal="center"/>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21" Type="http://schemas.openxmlformats.org/officeDocument/2006/relationships/customXml" Target="../customXml/item5.xml"/><Relationship Id="rId34" Type="http://schemas.openxmlformats.org/officeDocument/2006/relationships/customXml" Target="../customXml/item18.xml"/><Relationship Id="rId7" Type="http://schemas.microsoft.com/office/2007/relationships/slicerCache" Target="slicerCaches/slicerCache2.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2" Type="http://schemas.openxmlformats.org/officeDocument/2006/relationships/worksheet" Target="worksheets/sheet2.xml"/><Relationship Id="rId16" Type="http://schemas.openxmlformats.org/officeDocument/2006/relationships/calcChain" Target="calcChain.xml"/><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5.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2.xml"/><Relationship Id="rId9" Type="http://schemas.microsoft.com/office/2007/relationships/slicerCache" Target="slicerCaches/slicerCache4.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microsoft.com/office/2007/relationships/slicerCache" Target="slicerCaches/slicerCache3.xml"/><Relationship Id="rId3" Type="http://schemas.openxmlformats.org/officeDocument/2006/relationships/pivotCacheDefinition" Target="pivotCache/pivotCacheDefinition1.xml"/></Relationships>
</file>

<file path=xl/drawings/drawing1.xml><?xml version="1.0" encoding="utf-8"?>
<xdr:wsDr xmlns:xdr="http://schemas.openxmlformats.org/drawingml/2006/spreadsheetDrawing" xmlns:a="http://schemas.openxmlformats.org/drawingml/2006/main">
  <xdr:twoCellAnchor editAs="absolute">
    <xdr:from>
      <xdr:col>17</xdr:col>
      <xdr:colOff>193040</xdr:colOff>
      <xdr:row>1</xdr:row>
      <xdr:rowOff>1</xdr:rowOff>
    </xdr:from>
    <xdr:to>
      <xdr:col>19</xdr:col>
      <xdr:colOff>111760</xdr:colOff>
      <xdr:row>6</xdr:row>
      <xdr:rowOff>172721</xdr:rowOff>
    </xdr:to>
    <mc:AlternateContent xmlns:mc="http://schemas.openxmlformats.org/markup-compatibility/2006" xmlns:a14="http://schemas.microsoft.com/office/drawing/2010/main">
      <mc:Choice Requires="a14">
        <xdr:graphicFrame macro="">
          <xdr:nvGraphicFramePr>
            <xdr:cNvPr id="4" name="Utilization Group">
              <a:extLst>
                <a:ext uri="{FF2B5EF4-FFF2-40B4-BE49-F238E27FC236}">
                  <a16:creationId xmlns:a16="http://schemas.microsoft.com/office/drawing/2014/main" id="{F7BA87E3-3263-42A2-B666-90C0D2AE934F}"/>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Utilization Group"/>
            </a:graphicData>
          </a:graphic>
        </xdr:graphicFrame>
      </mc:Choice>
      <mc:Fallback xmlns="">
        <xdr:sp macro="" textlink="">
          <xdr:nvSpPr>
            <xdr:cNvPr id="0" name=""/>
            <xdr:cNvSpPr>
              <a:spLocks noTextEdit="1"/>
            </xdr:cNvSpPr>
          </xdr:nvSpPr>
          <xdr:spPr>
            <a:xfrm>
              <a:off x="16184880" y="182881"/>
              <a:ext cx="1828800" cy="11582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19</xdr:col>
      <xdr:colOff>269240</xdr:colOff>
      <xdr:row>1</xdr:row>
      <xdr:rowOff>1</xdr:rowOff>
    </xdr:from>
    <xdr:to>
      <xdr:col>21</xdr:col>
      <xdr:colOff>187960</xdr:colOff>
      <xdr:row>6</xdr:row>
      <xdr:rowOff>160021</xdr:rowOff>
    </xdr:to>
    <mc:AlternateContent xmlns:mc="http://schemas.openxmlformats.org/markup-compatibility/2006" xmlns:a14="http://schemas.microsoft.com/office/drawing/2010/main">
      <mc:Choice Requires="a14">
        <xdr:graphicFrame macro="">
          <xdr:nvGraphicFramePr>
            <xdr:cNvPr id="8" name="Credit Score Group">
              <a:extLst>
                <a:ext uri="{FF2B5EF4-FFF2-40B4-BE49-F238E27FC236}">
                  <a16:creationId xmlns:a16="http://schemas.microsoft.com/office/drawing/2014/main" id="{719DE55A-DD5C-4B0E-8F97-41E8B5ED8CDA}"/>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Credit Score Group"/>
            </a:graphicData>
          </a:graphic>
        </xdr:graphicFrame>
      </mc:Choice>
      <mc:Fallback xmlns="">
        <xdr:sp macro="" textlink="">
          <xdr:nvSpPr>
            <xdr:cNvPr id="0" name=""/>
            <xdr:cNvSpPr>
              <a:spLocks noTextEdit="1"/>
            </xdr:cNvSpPr>
          </xdr:nvSpPr>
          <xdr:spPr>
            <a:xfrm>
              <a:off x="18171160" y="182881"/>
              <a:ext cx="1828800" cy="11455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21</xdr:col>
      <xdr:colOff>345440</xdr:colOff>
      <xdr:row>1</xdr:row>
      <xdr:rowOff>1</xdr:rowOff>
    </xdr:from>
    <xdr:to>
      <xdr:col>23</xdr:col>
      <xdr:colOff>264160</xdr:colOff>
      <xdr:row>6</xdr:row>
      <xdr:rowOff>157481</xdr:rowOff>
    </xdr:to>
    <mc:AlternateContent xmlns:mc="http://schemas.openxmlformats.org/markup-compatibility/2006" xmlns:a14="http://schemas.microsoft.com/office/drawing/2010/main">
      <mc:Choice Requires="a14">
        <xdr:graphicFrame macro="">
          <xdr:nvGraphicFramePr>
            <xdr:cNvPr id="9" name="DSR Group">
              <a:extLst>
                <a:ext uri="{FF2B5EF4-FFF2-40B4-BE49-F238E27FC236}">
                  <a16:creationId xmlns:a16="http://schemas.microsoft.com/office/drawing/2014/main" id="{8EC453E7-9DC7-4070-9B0C-0AE75AA19CFD}"/>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DSR Group"/>
            </a:graphicData>
          </a:graphic>
        </xdr:graphicFrame>
      </mc:Choice>
      <mc:Fallback xmlns="">
        <xdr:sp macro="" textlink="">
          <xdr:nvSpPr>
            <xdr:cNvPr id="0" name=""/>
            <xdr:cNvSpPr>
              <a:spLocks noTextEdit="1"/>
            </xdr:cNvSpPr>
          </xdr:nvSpPr>
          <xdr:spPr>
            <a:xfrm>
              <a:off x="20157440" y="182881"/>
              <a:ext cx="1828800" cy="1143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23</xdr:col>
      <xdr:colOff>421640</xdr:colOff>
      <xdr:row>1</xdr:row>
      <xdr:rowOff>1</xdr:rowOff>
    </xdr:from>
    <xdr:to>
      <xdr:col>25</xdr:col>
      <xdr:colOff>340360</xdr:colOff>
      <xdr:row>6</xdr:row>
      <xdr:rowOff>154941</xdr:rowOff>
    </xdr:to>
    <mc:AlternateContent xmlns:mc="http://schemas.openxmlformats.org/markup-compatibility/2006" xmlns:a14="http://schemas.microsoft.com/office/drawing/2010/main">
      <mc:Choice Requires="a14">
        <xdr:graphicFrame macro="">
          <xdr:nvGraphicFramePr>
            <xdr:cNvPr id="10" name="Years on Book">
              <a:extLst>
                <a:ext uri="{FF2B5EF4-FFF2-40B4-BE49-F238E27FC236}">
                  <a16:creationId xmlns:a16="http://schemas.microsoft.com/office/drawing/2014/main" id="{BA94EAE3-F358-4982-A832-0F73DF3238EF}"/>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Years on Book"/>
            </a:graphicData>
          </a:graphic>
        </xdr:graphicFrame>
      </mc:Choice>
      <mc:Fallback xmlns="">
        <xdr:sp macro="" textlink="">
          <xdr:nvSpPr>
            <xdr:cNvPr id="0" name=""/>
            <xdr:cNvSpPr>
              <a:spLocks noTextEdit="1"/>
            </xdr:cNvSpPr>
          </xdr:nvSpPr>
          <xdr:spPr>
            <a:xfrm>
              <a:off x="22143720" y="182881"/>
              <a:ext cx="1828800" cy="1140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25</xdr:col>
      <xdr:colOff>497840</xdr:colOff>
      <xdr:row>1</xdr:row>
      <xdr:rowOff>1</xdr:rowOff>
    </xdr:from>
    <xdr:to>
      <xdr:col>29</xdr:col>
      <xdr:colOff>0</xdr:colOff>
      <xdr:row>6</xdr:row>
      <xdr:rowOff>172721</xdr:rowOff>
    </xdr:to>
    <mc:AlternateContent xmlns:mc="http://schemas.openxmlformats.org/markup-compatibility/2006" xmlns:a14="http://schemas.microsoft.com/office/drawing/2010/main">
      <mc:Choice Requires="a14">
        <xdr:graphicFrame macro="">
          <xdr:nvGraphicFramePr>
            <xdr:cNvPr id="11" name="Province">
              <a:extLst>
                <a:ext uri="{FF2B5EF4-FFF2-40B4-BE49-F238E27FC236}">
                  <a16:creationId xmlns:a16="http://schemas.microsoft.com/office/drawing/2014/main" id="{A1719110-4D6B-4C09-B84A-F4AC30C50C1E}"/>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Province"/>
            </a:graphicData>
          </a:graphic>
        </xdr:graphicFrame>
      </mc:Choice>
      <mc:Fallback xmlns="">
        <xdr:sp macro="" textlink="">
          <xdr:nvSpPr>
            <xdr:cNvPr id="0" name=""/>
            <xdr:cNvSpPr>
              <a:spLocks noTextEdit="1"/>
            </xdr:cNvSpPr>
          </xdr:nvSpPr>
          <xdr:spPr>
            <a:xfrm>
              <a:off x="24130000" y="182881"/>
              <a:ext cx="3322320" cy="11582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ric Liu" refreshedDate="45561.42464247685" backgroundQuery="1" createdVersion="8" refreshedVersion="8" minRefreshableVersion="3" recordCount="0" supportSubquery="1" supportAdvancedDrill="1" xr:uid="{1DCADCD1-8ABA-488F-AAD2-1D2FEBA82AA0}">
  <cacheSource type="external" connectionId="5"/>
  <cacheFields count="8">
    <cacheField name="[performance].[Cycle].[Cycle]" caption="Cycle" numFmtId="0" hierarchy="9" level="1">
      <sharedItems count="9">
        <s v="0"/>
        <s v="1"/>
        <s v="2"/>
        <s v="3"/>
        <s v="4"/>
        <s v="A"/>
        <s v="B"/>
        <s v="D"/>
        <s v="F"/>
      </sharedItems>
    </cacheField>
    <cacheField name="[performance].[Month].[Month]" caption="Month" numFmtId="0" hierarchy="8" level="1">
      <sharedItems containsSemiMixedTypes="0" containsNonDate="0" containsDate="1" containsString="0" minDate="2020-01-31T00:00:00" maxDate="2021-01-01T00:00:00" count="12">
        <d v="2020-01-31T00:00:00"/>
        <d v="2020-02-29T00:00:00"/>
        <d v="2020-03-31T00:00:00"/>
        <d v="2020-04-30T00:00:00"/>
        <d v="2020-05-31T00:00:00"/>
        <d v="2020-06-30T00:00:00"/>
        <d v="2020-07-31T00:00:00"/>
        <d v="2020-08-31T00:00:00"/>
        <d v="2020-09-30T00:00:00"/>
        <d v="2020-10-31T00:00:00"/>
        <d v="2020-11-30T00:00:00"/>
        <d v="2020-12-31T00:00:00"/>
      </sharedItems>
    </cacheField>
    <cacheField name="[Measures].[Sum of Balance]" caption="Sum of Balance" numFmtId="0" hierarchy="20" level="32767"/>
    <cacheField name="[application_unique].[Credit Score Group].[Credit Score Group]" caption="Credit Score Group" numFmtId="0" hierarchy="6" level="1">
      <sharedItems containsSemiMixedTypes="0" containsNonDate="0" containsString="0"/>
    </cacheField>
    <cacheField name="[application_unique].[DSR Group].[DSR Group]" caption="DSR Group" numFmtId="0" hierarchy="5" level="1">
      <sharedItems containsSemiMixedTypes="0" containsNonDate="0" containsString="0"/>
    </cacheField>
    <cacheField name="[application_unique].[Province].[Province]" caption="Province" numFmtId="0" hierarchy="2" level="1">
      <sharedItems containsSemiMixedTypes="0" containsNonDate="0" containsString="0"/>
    </cacheField>
    <cacheField name="[performance].[Utilization Group].[Utilization Group]" caption="Utilization Group" numFmtId="0" hierarchy="13" level="1">
      <sharedItems containsSemiMixedTypes="0" containsNonDate="0" containsString="0"/>
    </cacheField>
    <cacheField name="[performance].[Years on Book].[Years on Book]" caption="Years on Book" numFmtId="0" hierarchy="14" level="1">
      <sharedItems containsSemiMixedTypes="0" containsNonDate="0" containsString="0"/>
    </cacheField>
  </cacheFields>
  <cacheHierarchies count="21">
    <cacheHierarchy uniqueName="[application_unique].[Card ID]" caption="Card ID" attribute="1" defaultMemberUniqueName="[application_unique].[Card ID].[All]" allUniqueName="[application_unique].[Card ID].[All]" dimensionUniqueName="[application_unique]" displayFolder="" count="0" memberValueDatatype="130" unbalanced="0"/>
    <cacheHierarchy uniqueName="[application_unique].[Month Opened]" caption="Month Opened" attribute="1" time="1" defaultMemberUniqueName="[application_unique].[Month Opened].[All]" allUniqueName="[application_unique].[Month Opened].[All]" dimensionUniqueName="[application_unique]" displayFolder="" count="0" memberValueDatatype="7" unbalanced="0"/>
    <cacheHierarchy uniqueName="[application_unique].[Province]" caption="Province" attribute="1" defaultMemberUniqueName="[application_unique].[Province].[All]" allUniqueName="[application_unique].[Province].[All]" dimensionUniqueName="[application_unique]" displayFolder="" count="2" memberValueDatatype="130" unbalanced="0">
      <fieldsUsage count="2">
        <fieldUsage x="-1"/>
        <fieldUsage x="5"/>
      </fieldsUsage>
    </cacheHierarchy>
    <cacheHierarchy uniqueName="[application_unique].[Debt Service Ratio]" caption="Debt Service Ratio" attribute="1" defaultMemberUniqueName="[application_unique].[Debt Service Ratio].[All]" allUniqueName="[application_unique].[Debt Service Ratio].[All]" dimensionUniqueName="[application_unique]" displayFolder="" count="0" memberValueDatatype="5" unbalanced="0"/>
    <cacheHierarchy uniqueName="[application_unique].[Credit Score]" caption="Credit Score" attribute="1" defaultMemberUniqueName="[application_unique].[Credit Score].[All]" allUniqueName="[application_unique].[Credit Score].[All]" dimensionUniqueName="[application_unique]" displayFolder="" count="0" memberValueDatatype="20" unbalanced="0"/>
    <cacheHierarchy uniqueName="[application_unique].[DSR Group]" caption="DSR Group" attribute="1" defaultMemberUniqueName="[application_unique].[DSR Group].[All]" allUniqueName="[application_unique].[DSR Group].[All]" dimensionUniqueName="[application_unique]" displayFolder="" count="2" memberValueDatatype="130" unbalanced="0">
      <fieldsUsage count="2">
        <fieldUsage x="-1"/>
        <fieldUsage x="4"/>
      </fieldsUsage>
    </cacheHierarchy>
    <cacheHierarchy uniqueName="[application_unique].[Credit Score Group]" caption="Credit Score Group" attribute="1" defaultMemberUniqueName="[application_unique].[Credit Score Group].[All]" allUniqueName="[application_unique].[Credit Score Group].[All]" dimensionUniqueName="[application_unique]" displayFolder="" count="2" memberValueDatatype="130" unbalanced="0">
      <fieldsUsage count="2">
        <fieldUsage x="-1"/>
        <fieldUsage x="3"/>
      </fieldsUsage>
    </cacheHierarchy>
    <cacheHierarchy uniqueName="[performance].[Card ID]" caption="Card ID" attribute="1" defaultMemberUniqueName="[performance].[Card ID].[All]" allUniqueName="[performance].[Card ID].[All]" dimensionUniqueName="[performance]" displayFolder="" count="0" memberValueDatatype="130" unbalanced="0"/>
    <cacheHierarchy uniqueName="[performance].[Month]" caption="Month" attribute="1" time="1" defaultMemberUniqueName="[performance].[Month].[All]" allUniqueName="[performance].[Month].[All]" dimensionUniqueName="[performance]" displayFolder="" count="2" memberValueDatatype="7" unbalanced="0">
      <fieldsUsage count="2">
        <fieldUsage x="-1"/>
        <fieldUsage x="1"/>
      </fieldsUsage>
    </cacheHierarchy>
    <cacheHierarchy uniqueName="[performance].[Cycle]" caption="Cycle" attribute="1" defaultMemberUniqueName="[performance].[Cycle].[All]" allUniqueName="[performance].[Cycle].[All]" dimensionUniqueName="[performance]" displayFolder="" count="2" memberValueDatatype="130" unbalanced="0">
      <fieldsUsage count="2">
        <fieldUsage x="-1"/>
        <fieldUsage x="0"/>
      </fieldsUsage>
    </cacheHierarchy>
    <cacheHierarchy uniqueName="[performance].[Balance]" caption="Balance" attribute="1" defaultMemberUniqueName="[performance].[Balance].[All]" allUniqueName="[performance].[Balance].[All]" dimensionUniqueName="[performance]" displayFolder="" count="0" memberValueDatatype="5" unbalanced="0"/>
    <cacheHierarchy uniqueName="[performance].[Credit Limit]" caption="Credit Limit" attribute="1" defaultMemberUniqueName="[performance].[Credit Limit].[All]" allUniqueName="[performance].[Credit Limit].[All]" dimensionUniqueName="[performance]" displayFolder="" count="0" memberValueDatatype="20" unbalanced="0"/>
    <cacheHierarchy uniqueName="[performance].[Utilization]" caption="Utilization" attribute="1" defaultMemberUniqueName="[performance].[Utilization].[All]" allUniqueName="[performance].[Utilization].[All]" dimensionUniqueName="[performance]" displayFolder="" count="0" memberValueDatatype="5" unbalanced="0"/>
    <cacheHierarchy uniqueName="[performance].[Utilization Group]" caption="Utilization Group" attribute="1" defaultMemberUniqueName="[performance].[Utilization Group].[All]" allUniqueName="[performance].[Utilization Group].[All]" dimensionUniqueName="[performance]" displayFolder="" count="2" memberValueDatatype="130" unbalanced="0">
      <fieldsUsage count="2">
        <fieldUsage x="-1"/>
        <fieldUsage x="6"/>
      </fieldsUsage>
    </cacheHierarchy>
    <cacheHierarchy uniqueName="[performance].[Years on Book]" caption="Years on Book" attribute="1" defaultMemberUniqueName="[performance].[Years on Book].[All]" allUniqueName="[performance].[Years on Book].[All]" dimensionUniqueName="[performance]" displayFolder="" count="2" memberValueDatatype="20" unbalanced="0">
      <fieldsUsage count="2">
        <fieldUsage x="-1"/>
        <fieldUsage x="7"/>
      </fieldsUsage>
    </cacheHierarchy>
    <cacheHierarchy uniqueName="[performance].[Month (Month Index)]" caption="Month (Month Index)" attribute="1" defaultMemberUniqueName="[performance].[Month (Month Index)].[All]" allUniqueName="[performance].[Month (Month Index)].[All]" dimensionUniqueName="[performance]" displayFolder="" count="0" memberValueDatatype="20" unbalanced="0" hidden="1"/>
    <cacheHierarchy uniqueName="[Measures].[__XL_Count performance]" caption="__XL_Count performance" measure="1" displayFolder="" measureGroup="performance" count="0" hidden="1"/>
    <cacheHierarchy uniqueName="[Measures].[__XL_Count application_unique]" caption="__XL_Count application_unique" measure="1" displayFolder="" measureGroup="application_unique" count="0" hidden="1"/>
    <cacheHierarchy uniqueName="[Measures].[__No measures defined]" caption="__No measures defined" measure="1" displayFolder="" count="0" hidden="1"/>
    <cacheHierarchy uniqueName="[Measures].[Count of Card ID]" caption="Count of Card ID" measure="1" displayFolder="" measureGroup="performance" count="0" hidden="1">
      <extLst>
        <ext xmlns:x15="http://schemas.microsoft.com/office/spreadsheetml/2010/11/main" uri="{B97F6D7D-B522-45F9-BDA1-12C45D357490}">
          <x15:cacheHierarchy aggregatedColumn="7"/>
        </ext>
      </extLst>
    </cacheHierarchy>
    <cacheHierarchy uniqueName="[Measures].[Sum of Balance]" caption="Sum of Balance" measure="1" displayFolder="" measureGroup="performance" count="0" oneField="1" hidden="1">
      <fieldsUsage count="1">
        <fieldUsage x="2"/>
      </fieldsUsage>
      <extLst>
        <ext xmlns:x15="http://schemas.microsoft.com/office/spreadsheetml/2010/11/main" uri="{B97F6D7D-B522-45F9-BDA1-12C45D357490}">
          <x15:cacheHierarchy aggregatedColumn="10"/>
        </ext>
      </extLst>
    </cacheHierarchy>
  </cacheHierarchies>
  <kpis count="0"/>
  <dimensions count="3">
    <dimension name="application_unique" uniqueName="[application_unique]" caption="application_unique"/>
    <dimension measure="1" name="Measures" uniqueName="[Measures]" caption="Measures"/>
    <dimension name="performance" uniqueName="[performance]" caption="performance"/>
  </dimensions>
  <measureGroups count="2">
    <measureGroup name="application_unique" caption="application_unique"/>
    <measureGroup name="performance" caption="performance"/>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ric Liu" refreshedDate="45561.424644560182" backgroundQuery="1" createdVersion="8" refreshedVersion="8" minRefreshableVersion="3" recordCount="0" supportSubquery="1" supportAdvancedDrill="1" xr:uid="{1CCC0B3F-4D93-4D36-844D-A2141495FD6B}">
  <cacheSource type="external" connectionId="5"/>
  <cacheFields count="8">
    <cacheField name="[performance].[Cycle].[Cycle]" caption="Cycle" numFmtId="0" hierarchy="9" level="1">
      <sharedItems count="9">
        <s v="0"/>
        <s v="1"/>
        <s v="2"/>
        <s v="3"/>
        <s v="4"/>
        <s v="A"/>
        <s v="B"/>
        <s v="D"/>
        <s v="F"/>
      </sharedItems>
    </cacheField>
    <cacheField name="[performance].[Month].[Month]" caption="Month" numFmtId="0" hierarchy="8" level="1">
      <sharedItems containsSemiMixedTypes="0" containsNonDate="0" containsDate="1" containsString="0" minDate="2020-01-31T00:00:00" maxDate="2021-01-01T00:00:00" count="12">
        <d v="2020-01-31T00:00:00"/>
        <d v="2020-02-29T00:00:00"/>
        <d v="2020-03-31T00:00:00"/>
        <d v="2020-04-30T00:00:00"/>
        <d v="2020-05-31T00:00:00"/>
        <d v="2020-06-30T00:00:00"/>
        <d v="2020-07-31T00:00:00"/>
        <d v="2020-08-31T00:00:00"/>
        <d v="2020-09-30T00:00:00"/>
        <d v="2020-10-31T00:00:00"/>
        <d v="2020-11-30T00:00:00"/>
        <d v="2020-12-31T00:00:00"/>
      </sharedItems>
    </cacheField>
    <cacheField name="[Measures].[Count of Card ID]" caption="Count of Card ID" numFmtId="0" hierarchy="19" level="32767"/>
    <cacheField name="[application_unique].[Credit Score Group].[Credit Score Group]" caption="Credit Score Group" numFmtId="0" hierarchy="6" level="1">
      <sharedItems containsSemiMixedTypes="0" containsNonDate="0" containsString="0"/>
    </cacheField>
    <cacheField name="[application_unique].[DSR Group].[DSR Group]" caption="DSR Group" numFmtId="0" hierarchy="5" level="1">
      <sharedItems containsSemiMixedTypes="0" containsNonDate="0" containsString="0"/>
    </cacheField>
    <cacheField name="[application_unique].[Province].[Province]" caption="Province" numFmtId="0" hierarchy="2" level="1">
      <sharedItems containsSemiMixedTypes="0" containsNonDate="0" containsString="0"/>
    </cacheField>
    <cacheField name="[performance].[Utilization Group].[Utilization Group]" caption="Utilization Group" numFmtId="0" hierarchy="13" level="1">
      <sharedItems containsSemiMixedTypes="0" containsNonDate="0" containsString="0"/>
    </cacheField>
    <cacheField name="[performance].[Years on Book].[Years on Book]" caption="Years on Book" numFmtId="0" hierarchy="14" level="1">
      <sharedItems containsSemiMixedTypes="0" containsNonDate="0" containsString="0"/>
    </cacheField>
  </cacheFields>
  <cacheHierarchies count="21">
    <cacheHierarchy uniqueName="[application_unique].[Card ID]" caption="Card ID" attribute="1" defaultMemberUniqueName="[application_unique].[Card ID].[All]" allUniqueName="[application_unique].[Card ID].[All]" dimensionUniqueName="[application_unique]" displayFolder="" count="0" memberValueDatatype="130" unbalanced="0"/>
    <cacheHierarchy uniqueName="[application_unique].[Month Opened]" caption="Month Opened" attribute="1" time="1" defaultMemberUniqueName="[application_unique].[Month Opened].[All]" allUniqueName="[application_unique].[Month Opened].[All]" dimensionUniqueName="[application_unique]" displayFolder="" count="0" memberValueDatatype="7" unbalanced="0"/>
    <cacheHierarchy uniqueName="[application_unique].[Province]" caption="Province" attribute="1" defaultMemberUniqueName="[application_unique].[Province].[All]" allUniqueName="[application_unique].[Province].[All]" dimensionUniqueName="[application_unique]" displayFolder="" count="2" memberValueDatatype="130" unbalanced="0">
      <fieldsUsage count="2">
        <fieldUsage x="-1"/>
        <fieldUsage x="5"/>
      </fieldsUsage>
    </cacheHierarchy>
    <cacheHierarchy uniqueName="[application_unique].[Debt Service Ratio]" caption="Debt Service Ratio" attribute="1" defaultMemberUniqueName="[application_unique].[Debt Service Ratio].[All]" allUniqueName="[application_unique].[Debt Service Ratio].[All]" dimensionUniqueName="[application_unique]" displayFolder="" count="0" memberValueDatatype="5" unbalanced="0"/>
    <cacheHierarchy uniqueName="[application_unique].[Credit Score]" caption="Credit Score" attribute="1" defaultMemberUniqueName="[application_unique].[Credit Score].[All]" allUniqueName="[application_unique].[Credit Score].[All]" dimensionUniqueName="[application_unique]" displayFolder="" count="0" memberValueDatatype="20" unbalanced="0"/>
    <cacheHierarchy uniqueName="[application_unique].[DSR Group]" caption="DSR Group" attribute="1" defaultMemberUniqueName="[application_unique].[DSR Group].[All]" allUniqueName="[application_unique].[DSR Group].[All]" dimensionUniqueName="[application_unique]" displayFolder="" count="2" memberValueDatatype="130" unbalanced="0">
      <fieldsUsage count="2">
        <fieldUsage x="-1"/>
        <fieldUsage x="4"/>
      </fieldsUsage>
    </cacheHierarchy>
    <cacheHierarchy uniqueName="[application_unique].[Credit Score Group]" caption="Credit Score Group" attribute="1" defaultMemberUniqueName="[application_unique].[Credit Score Group].[All]" allUniqueName="[application_unique].[Credit Score Group].[All]" dimensionUniqueName="[application_unique]" displayFolder="" count="2" memberValueDatatype="130" unbalanced="0">
      <fieldsUsage count="2">
        <fieldUsage x="-1"/>
        <fieldUsage x="3"/>
      </fieldsUsage>
    </cacheHierarchy>
    <cacheHierarchy uniqueName="[performance].[Card ID]" caption="Card ID" attribute="1" defaultMemberUniqueName="[performance].[Card ID].[All]" allUniqueName="[performance].[Card ID].[All]" dimensionUniqueName="[performance]" displayFolder="" count="0" memberValueDatatype="130" unbalanced="0"/>
    <cacheHierarchy uniqueName="[performance].[Month]" caption="Month" attribute="1" time="1" defaultMemberUniqueName="[performance].[Month].[All]" allUniqueName="[performance].[Month].[All]" dimensionUniqueName="[performance]" displayFolder="" count="2" memberValueDatatype="7" unbalanced="0">
      <fieldsUsage count="2">
        <fieldUsage x="-1"/>
        <fieldUsage x="1"/>
      </fieldsUsage>
    </cacheHierarchy>
    <cacheHierarchy uniqueName="[performance].[Cycle]" caption="Cycle" attribute="1" defaultMemberUniqueName="[performance].[Cycle].[All]" allUniqueName="[performance].[Cycle].[All]" dimensionUniqueName="[performance]" displayFolder="" count="2" memberValueDatatype="130" unbalanced="0">
      <fieldsUsage count="2">
        <fieldUsage x="-1"/>
        <fieldUsage x="0"/>
      </fieldsUsage>
    </cacheHierarchy>
    <cacheHierarchy uniqueName="[performance].[Balance]" caption="Balance" attribute="1" defaultMemberUniqueName="[performance].[Balance].[All]" allUniqueName="[performance].[Balance].[All]" dimensionUniqueName="[performance]" displayFolder="" count="0" memberValueDatatype="5" unbalanced="0"/>
    <cacheHierarchy uniqueName="[performance].[Credit Limit]" caption="Credit Limit" attribute="1" defaultMemberUniqueName="[performance].[Credit Limit].[All]" allUniqueName="[performance].[Credit Limit].[All]" dimensionUniqueName="[performance]" displayFolder="" count="0" memberValueDatatype="20" unbalanced="0"/>
    <cacheHierarchy uniqueName="[performance].[Utilization]" caption="Utilization" attribute="1" defaultMemberUniqueName="[performance].[Utilization].[All]" allUniqueName="[performance].[Utilization].[All]" dimensionUniqueName="[performance]" displayFolder="" count="0" memberValueDatatype="5" unbalanced="0"/>
    <cacheHierarchy uniqueName="[performance].[Utilization Group]" caption="Utilization Group" attribute="1" defaultMemberUniqueName="[performance].[Utilization Group].[All]" allUniqueName="[performance].[Utilization Group].[All]" dimensionUniqueName="[performance]" displayFolder="" count="2" memberValueDatatype="130" unbalanced="0">
      <fieldsUsage count="2">
        <fieldUsage x="-1"/>
        <fieldUsage x="6"/>
      </fieldsUsage>
    </cacheHierarchy>
    <cacheHierarchy uniqueName="[performance].[Years on Book]" caption="Years on Book" attribute="1" defaultMemberUniqueName="[performance].[Years on Book].[All]" allUniqueName="[performance].[Years on Book].[All]" dimensionUniqueName="[performance]" displayFolder="" count="2" memberValueDatatype="20" unbalanced="0">
      <fieldsUsage count="2">
        <fieldUsage x="-1"/>
        <fieldUsage x="7"/>
      </fieldsUsage>
    </cacheHierarchy>
    <cacheHierarchy uniqueName="[performance].[Month (Month Index)]" caption="Month (Month Index)" attribute="1" defaultMemberUniqueName="[performance].[Month (Month Index)].[All]" allUniqueName="[performance].[Month (Month Index)].[All]" dimensionUniqueName="[performance]" displayFolder="" count="0" memberValueDatatype="20" unbalanced="0" hidden="1"/>
    <cacheHierarchy uniqueName="[Measures].[__XL_Count performance]" caption="__XL_Count performance" measure="1" displayFolder="" measureGroup="performance" count="0" hidden="1"/>
    <cacheHierarchy uniqueName="[Measures].[__XL_Count application_unique]" caption="__XL_Count application_unique" measure="1" displayFolder="" measureGroup="application_unique" count="0" hidden="1"/>
    <cacheHierarchy uniqueName="[Measures].[__No measures defined]" caption="__No measures defined" measure="1" displayFolder="" count="0" hidden="1"/>
    <cacheHierarchy uniqueName="[Measures].[Count of Card ID]" caption="Count of Card ID" measure="1" displayFolder="" measureGroup="performance" count="0" oneField="1" hidden="1">
      <fieldsUsage count="1">
        <fieldUsage x="2"/>
      </fieldsUsage>
      <extLst>
        <ext xmlns:x15="http://schemas.microsoft.com/office/spreadsheetml/2010/11/main" uri="{B97F6D7D-B522-45F9-BDA1-12C45D357490}">
          <x15:cacheHierarchy aggregatedColumn="7"/>
        </ext>
      </extLst>
    </cacheHierarchy>
    <cacheHierarchy uniqueName="[Measures].[Sum of Balance]" caption="Sum of Balance" measure="1" displayFolder="" measureGroup="performance" count="0" hidden="1">
      <extLst>
        <ext xmlns:x15="http://schemas.microsoft.com/office/spreadsheetml/2010/11/main" uri="{B97F6D7D-B522-45F9-BDA1-12C45D357490}">
          <x15:cacheHierarchy aggregatedColumn="10"/>
        </ext>
      </extLst>
    </cacheHierarchy>
  </cacheHierarchies>
  <kpis count="0"/>
  <dimensions count="3">
    <dimension name="application_unique" uniqueName="[application_unique]" caption="application_unique"/>
    <dimension measure="1" name="Measures" uniqueName="[Measures]" caption="Measures"/>
    <dimension name="performance" uniqueName="[performance]" caption="performance"/>
  </dimensions>
  <measureGroups count="2">
    <measureGroup name="application_unique" caption="application_unique"/>
    <measureGroup name="performance" caption="performance"/>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ric Liu" refreshedDate="45561.424640972225" backgroundQuery="1" createdVersion="3" refreshedVersion="8" minRefreshableVersion="3" recordCount="0" supportSubquery="1" supportAdvancedDrill="1" xr:uid="{D59D3C50-8D92-4DFC-9B60-BD9D8FD99F21}">
  <cacheSource type="external" connectionId="5">
    <extLst>
      <ext xmlns:x14="http://schemas.microsoft.com/office/spreadsheetml/2009/9/main" uri="{F057638F-6D5F-4e77-A914-E7F072B9BCA8}">
        <x14:sourceConnection name="ThisWorkbookDataModel"/>
      </ext>
    </extLst>
  </cacheSource>
  <cacheFields count="0"/>
  <cacheHierarchies count="21">
    <cacheHierarchy uniqueName="[application_unique].[Card ID]" caption="Card ID" attribute="1" defaultMemberUniqueName="[application_unique].[Card ID].[All]" allUniqueName="[application_unique].[Card ID].[All]" dimensionUniqueName="[application_unique]" displayFolder="" count="0" memberValueDatatype="130" unbalanced="0"/>
    <cacheHierarchy uniqueName="[application_unique].[Month Opened]" caption="Month Opened" attribute="1" time="1" defaultMemberUniqueName="[application_unique].[Month Opened].[All]" allUniqueName="[application_unique].[Month Opened].[All]" dimensionUniqueName="[application_unique]" displayFolder="" count="0" memberValueDatatype="7" unbalanced="0"/>
    <cacheHierarchy uniqueName="[application_unique].[Province]" caption="Province" attribute="1" defaultMemberUniqueName="[application_unique].[Province].[All]" allUniqueName="[application_unique].[Province].[All]" dimensionUniqueName="[application_unique]" displayFolder="" count="2" memberValueDatatype="130" unbalanced="0"/>
    <cacheHierarchy uniqueName="[application_unique].[Debt Service Ratio]" caption="Debt Service Ratio" attribute="1" defaultMemberUniqueName="[application_unique].[Debt Service Ratio].[All]" allUniqueName="[application_unique].[Debt Service Ratio].[All]" dimensionUniqueName="[application_unique]" displayFolder="" count="0" memberValueDatatype="5" unbalanced="0"/>
    <cacheHierarchy uniqueName="[application_unique].[Credit Score]" caption="Credit Score" attribute="1" defaultMemberUniqueName="[application_unique].[Credit Score].[All]" allUniqueName="[application_unique].[Credit Score].[All]" dimensionUniqueName="[application_unique]" displayFolder="" count="0" memberValueDatatype="20" unbalanced="0"/>
    <cacheHierarchy uniqueName="[application_unique].[DSR Group]" caption="DSR Group" attribute="1" defaultMemberUniqueName="[application_unique].[DSR Group].[All]" allUniqueName="[application_unique].[DSR Group].[All]" dimensionUniqueName="[application_unique]" displayFolder="" count="2" memberValueDatatype="130" unbalanced="0"/>
    <cacheHierarchy uniqueName="[application_unique].[Credit Score Group]" caption="Credit Score Group" attribute="1" defaultMemberUniqueName="[application_unique].[Credit Score Group].[All]" allUniqueName="[application_unique].[Credit Score Group].[All]" dimensionUniqueName="[application_unique]" displayFolder="" count="2" memberValueDatatype="130" unbalanced="0"/>
    <cacheHierarchy uniqueName="[performance].[Card ID]" caption="Card ID" attribute="1" defaultMemberUniqueName="[performance].[Card ID].[All]" allUniqueName="[performance].[Card ID].[All]" dimensionUniqueName="[performance]" displayFolder="" count="0" memberValueDatatype="130" unbalanced="0"/>
    <cacheHierarchy uniqueName="[performance].[Month]" caption="Month" attribute="1" time="1" defaultMemberUniqueName="[performance].[Month].[All]" allUniqueName="[performance].[Month].[All]" dimensionUniqueName="[performance]" displayFolder="" count="0" memberValueDatatype="7" unbalanced="0"/>
    <cacheHierarchy uniqueName="[performance].[Cycle]" caption="Cycle" attribute="1" defaultMemberUniqueName="[performance].[Cycle].[All]" allUniqueName="[performance].[Cycle].[All]" dimensionUniqueName="[performance]" displayFolder="" count="0" memberValueDatatype="130" unbalanced="0"/>
    <cacheHierarchy uniqueName="[performance].[Balance]" caption="Balance" attribute="1" defaultMemberUniqueName="[performance].[Balance].[All]" allUniqueName="[performance].[Balance].[All]" dimensionUniqueName="[performance]" displayFolder="" count="0" memberValueDatatype="5" unbalanced="0"/>
    <cacheHierarchy uniqueName="[performance].[Credit Limit]" caption="Credit Limit" attribute="1" defaultMemberUniqueName="[performance].[Credit Limit].[All]" allUniqueName="[performance].[Credit Limit].[All]" dimensionUniqueName="[performance]" displayFolder="" count="0" memberValueDatatype="20" unbalanced="0"/>
    <cacheHierarchy uniqueName="[performance].[Utilization]" caption="Utilization" attribute="1" defaultMemberUniqueName="[performance].[Utilization].[All]" allUniqueName="[performance].[Utilization].[All]" dimensionUniqueName="[performance]" displayFolder="" count="0" memberValueDatatype="5" unbalanced="0"/>
    <cacheHierarchy uniqueName="[performance].[Utilization Group]" caption="Utilization Group" attribute="1" defaultMemberUniqueName="[performance].[Utilization Group].[All]" allUniqueName="[performance].[Utilization Group].[All]" dimensionUniqueName="[performance]" displayFolder="" count="2" memberValueDatatype="130" unbalanced="0"/>
    <cacheHierarchy uniqueName="[performance].[Years on Book]" caption="Years on Book" attribute="1" defaultMemberUniqueName="[performance].[Years on Book].[All]" allUniqueName="[performance].[Years on Book].[All]" dimensionUniqueName="[performance]" displayFolder="" count="2" memberValueDatatype="20" unbalanced="0"/>
    <cacheHierarchy uniqueName="[performance].[Month (Month Index)]" caption="Month (Month Index)" attribute="1" defaultMemberUniqueName="[performance].[Month (Month Index)].[All]" allUniqueName="[performance].[Month (Month Index)].[All]" dimensionUniqueName="[performance]" displayFolder="" count="0" memberValueDatatype="20" unbalanced="0" hidden="1"/>
    <cacheHierarchy uniqueName="[Measures].[__XL_Count performance]" caption="__XL_Count performance" measure="1" displayFolder="" measureGroup="performance" count="0" hidden="1"/>
    <cacheHierarchy uniqueName="[Measures].[__XL_Count application_unique]" caption="__XL_Count application_unique" measure="1" displayFolder="" measureGroup="application_unique" count="0" hidden="1"/>
    <cacheHierarchy uniqueName="[Measures].[__No measures defined]" caption="__No measures defined" measure="1" displayFolder="" count="0" hidden="1"/>
    <cacheHierarchy uniqueName="[Measures].[Count of Card ID]" caption="Count of Card ID" measure="1" displayFolder="" measureGroup="performance" count="0" hidden="1">
      <extLst>
        <ext xmlns:x15="http://schemas.microsoft.com/office/spreadsheetml/2010/11/main" uri="{B97F6D7D-B522-45F9-BDA1-12C45D357490}">
          <x15:cacheHierarchy aggregatedColumn="7"/>
        </ext>
      </extLst>
    </cacheHierarchy>
    <cacheHierarchy uniqueName="[Measures].[Sum of Balance]" caption="Sum of Balance" measure="1" displayFolder="" measureGroup="performance" count="0" hidden="1">
      <extLst>
        <ext xmlns:x15="http://schemas.microsoft.com/office/spreadsheetml/2010/11/main" uri="{B97F6D7D-B522-45F9-BDA1-12C45D357490}">
          <x15:cacheHierarchy aggregatedColumn="10"/>
        </ext>
      </extLst>
    </cacheHierarchy>
  </cacheHierarchies>
  <kpis count="0"/>
  <extLst>
    <ext xmlns:x14="http://schemas.microsoft.com/office/spreadsheetml/2009/9/main" uri="{725AE2AE-9491-48be-B2B4-4EB974FC3084}">
      <x14:pivotCacheDefinition slicerData="1" pivotCacheId="73391598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C6F3FAC-748C-48C3-92FE-9B0E4C15B2A8}" name="PivotTable3" cacheId="6" applyNumberFormats="0" applyBorderFormats="0" applyFontFormats="0" applyPatternFormats="0" applyAlignmentFormats="0" applyWidthHeightFormats="1" dataCaption="Values" tag="4b9eeef7-6586-4d0a-839d-3666736b943e" updatedVersion="8" minRefreshableVersion="3" subtotalHiddenItems="1" rowGrandTotals="0" itemPrintTitles="1" createdVersion="8" indent="0" outline="1" outlineData="1" multipleFieldFilters="0">
  <location ref="B19:L32" firstHeaderRow="1" firstDataRow="2" firstDataCol="1"/>
  <pivotFields count="8">
    <pivotField axis="axisCol" allDrilled="1" subtotalTop="0" showAll="0" dataSourceSort="1" defaultSubtotal="0" defaultAttributeDrillState="1">
      <items count="9">
        <item x="0"/>
        <item x="1"/>
        <item x="2"/>
        <item x="3"/>
        <item x="4"/>
        <item x="5"/>
        <item x="6"/>
        <item x="7"/>
        <item x="8"/>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12">
    <i>
      <x/>
    </i>
    <i>
      <x v="1"/>
    </i>
    <i>
      <x v="2"/>
    </i>
    <i>
      <x v="3"/>
    </i>
    <i>
      <x v="4"/>
    </i>
    <i>
      <x v="5"/>
    </i>
    <i>
      <x v="6"/>
    </i>
    <i>
      <x v="7"/>
    </i>
    <i>
      <x v="8"/>
    </i>
    <i>
      <x v="9"/>
    </i>
    <i>
      <x v="10"/>
    </i>
    <i>
      <x v="11"/>
    </i>
  </rowItems>
  <colFields count="1">
    <field x="0"/>
  </colFields>
  <colItems count="10">
    <i>
      <x/>
    </i>
    <i>
      <x v="1"/>
    </i>
    <i>
      <x v="2"/>
    </i>
    <i>
      <x v="3"/>
    </i>
    <i>
      <x v="4"/>
    </i>
    <i>
      <x v="5"/>
    </i>
    <i>
      <x v="6"/>
    </i>
    <i>
      <x v="7"/>
    </i>
    <i>
      <x v="8"/>
    </i>
    <i t="grand">
      <x/>
    </i>
  </colItems>
  <dataFields count="1">
    <dataField name="Sum of Balance" fld="2" baseField="1" baseItem="0" numFmtId="42"/>
  </dataFields>
  <formats count="3">
    <format dxfId="2">
      <pivotArea dataOnly="0" labelOnly="1" fieldPosition="0">
        <references count="1">
          <reference field="0" count="0"/>
        </references>
      </pivotArea>
    </format>
    <format dxfId="1">
      <pivotArea dataOnly="0" labelOnly="1" grandCol="1" outline="0" fieldPosition="0"/>
    </format>
    <format dxfId="0">
      <pivotArea outline="0" fieldPosition="0">
        <references count="1">
          <reference field="4294967294" count="1">
            <x v="0"/>
          </reference>
        </references>
      </pivotArea>
    </format>
  </formats>
  <pivotHierarchies count="2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Dark8" showRowHeaders="1" showColHeaders="1" showRowStripes="0" showColStripes="0" showLastColumn="1"/>
  <rowHierarchiesUsage count="1">
    <rowHierarchyUsage hierarchyUsage="8"/>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rformance]"/>
        <x15:activeTabTopLevelEntity name="[application_uniqu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BF750FC-2FCA-4F81-B030-E8D877F6BD9A}" name="PivotTable2" cacheId="9" applyNumberFormats="0" applyBorderFormats="0" applyFontFormats="0" applyPatternFormats="0" applyAlignmentFormats="0" applyWidthHeightFormats="1" dataCaption="Values" tag="e821ad41-2619-47f6-86a5-44a89923a387" updatedVersion="8" minRefreshableVersion="3" subtotalHiddenItems="1" rowGrandTotals="0" itemPrintTitles="1" createdVersion="8" indent="0" outline="1" outlineData="1" multipleFieldFilters="0">
  <location ref="B2:L15" firstHeaderRow="1" firstDataRow="2" firstDataCol="1"/>
  <pivotFields count="8">
    <pivotField axis="axisCol" allDrilled="1" subtotalTop="0" showAll="0" dataSourceSort="1" defaultSubtotal="0" defaultAttributeDrillState="1">
      <items count="9">
        <item x="0"/>
        <item x="1"/>
        <item x="2"/>
        <item x="3"/>
        <item x="4"/>
        <item x="5"/>
        <item x="6"/>
        <item x="7"/>
        <item x="8"/>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12">
    <i>
      <x/>
    </i>
    <i>
      <x v="1"/>
    </i>
    <i>
      <x v="2"/>
    </i>
    <i>
      <x v="3"/>
    </i>
    <i>
      <x v="4"/>
    </i>
    <i>
      <x v="5"/>
    </i>
    <i>
      <x v="6"/>
    </i>
    <i>
      <x v="7"/>
    </i>
    <i>
      <x v="8"/>
    </i>
    <i>
      <x v="9"/>
    </i>
    <i>
      <x v="10"/>
    </i>
    <i>
      <x v="11"/>
    </i>
  </rowItems>
  <colFields count="1">
    <field x="0"/>
  </colFields>
  <colItems count="10">
    <i>
      <x/>
    </i>
    <i>
      <x v="1"/>
    </i>
    <i>
      <x v="2"/>
    </i>
    <i>
      <x v="3"/>
    </i>
    <i>
      <x v="4"/>
    </i>
    <i>
      <x v="5"/>
    </i>
    <i>
      <x v="6"/>
    </i>
    <i>
      <x v="7"/>
    </i>
    <i>
      <x v="8"/>
    </i>
    <i t="grand">
      <x/>
    </i>
  </colItems>
  <dataFields count="1">
    <dataField name="Count of Card ID" fld="2" subtotal="count" baseField="1" baseItem="4" numFmtId="3"/>
  </dataFields>
  <formats count="4">
    <format dxfId="6">
      <pivotArea dataOnly="0" labelOnly="1" fieldPosition="0">
        <references count="1">
          <reference field="0" count="0"/>
        </references>
      </pivotArea>
    </format>
    <format dxfId="5">
      <pivotArea dataOnly="0" labelOnly="1" grandCol="1" outline="0" fieldPosition="0"/>
    </format>
    <format dxfId="4">
      <pivotArea dataOnly="0" labelOnly="1" fieldPosition="0">
        <references count="1">
          <reference field="1" count="0"/>
        </references>
      </pivotArea>
    </format>
    <format dxfId="3">
      <pivotArea outline="0" fieldPosition="0">
        <references count="1">
          <reference field="4294967294" count="1">
            <x v="0"/>
          </reference>
        </references>
      </pivotArea>
    </format>
  </formats>
  <pivotHierarchies count="2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Dark8" showRowHeaders="1" showColHeaders="1" showRowStripes="0" showColStripes="0" showLastColumn="1"/>
  <rowHierarchiesUsage count="1">
    <rowHierarchyUsage hierarchyUsage="8"/>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rformance]"/>
        <x15:activeTabTopLevelEntity name="[application_uniqu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tilization_Group" xr10:uid="{4305AD6E-0DC6-4744-969E-6AD7D90EF80D}" sourceName="[performance].[Utilization Group]">
  <pivotTables>
    <pivotTable tabId="1" name="PivotTable2"/>
    <pivotTable tabId="1" name="PivotTable3"/>
  </pivotTables>
  <data>
    <olap pivotCacheId="733915986">
      <levels count="2">
        <level uniqueName="[performance].[Utilization Group].[(All)]" sourceCaption="(All)" count="0"/>
        <level uniqueName="[performance].[Utilization Group].[Utilization Group]" sourceCaption="Utilization Group" count="3">
          <ranges>
            <range startItem="0">
              <i n="[performance].[Utilization Group].&amp;[&lt; 50%]" c="&lt; 50%"/>
              <i n="[performance].[Utilization Group].&amp;[&gt;= 100%]" c="&gt;= 100%"/>
              <i n="[performance].[Utilization Group].&amp;[50% to 100%]" c="50% to 100%"/>
            </range>
          </ranges>
        </level>
      </levels>
      <selections count="1">
        <selection n="[performance].[Utilization Group].[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redit_Score_Group" xr10:uid="{89B6D4D2-910C-465F-9F0D-4F8F96042253}" sourceName="[application_unique].[Credit Score Group]">
  <pivotTables>
    <pivotTable tabId="1" name="PivotTable2"/>
    <pivotTable tabId="1" name="PivotTable3"/>
  </pivotTables>
  <data>
    <olap pivotCacheId="733915986">
      <levels count="2">
        <level uniqueName="[application_unique].[Credit Score Group].[(All)]" sourceCaption="(All)" count="0"/>
        <level uniqueName="[application_unique].[Credit Score Group].[Credit Score Group]" sourceCaption="Credit Score Group" count="3">
          <ranges>
            <range startItem="0">
              <i n="[application_unique].[Credit Score Group].&amp;[&lt; 600]" c="&lt; 600"/>
              <i n="[application_unique].[Credit Score Group].&amp;[&gt;= 800]" c="&gt;= 800"/>
              <i n="[application_unique].[Credit Score Group].&amp;[600 to 800]" c="600 to 800"/>
            </range>
          </ranges>
        </level>
      </levels>
      <selections count="1">
        <selection n="[application_unique].[Credit Score Group].[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SR_Group" xr10:uid="{B765454E-2B31-4737-8DAA-28387BAA35E6}" sourceName="[application_unique].[DSR Group]">
  <pivotTables>
    <pivotTable tabId="1" name="PivotTable2"/>
    <pivotTable tabId="1" name="PivotTable3"/>
  </pivotTables>
  <data>
    <olap pivotCacheId="733915986">
      <levels count="2">
        <level uniqueName="[application_unique].[DSR Group].[(All)]" sourceCaption="(All)" count="0"/>
        <level uniqueName="[application_unique].[DSR Group].[DSR Group]" sourceCaption="DSR Group" count="3">
          <ranges>
            <range startItem="0">
              <i n="[application_unique].[DSR Group].&amp;[&lt; 50%]" c="&lt; 50%"/>
              <i n="[application_unique].[DSR Group].&amp;[&gt;= 100%]" c="&gt;= 100%"/>
              <i n="[application_unique].[DSR Group].&amp;[50% to 100%]" c="50% to 100%"/>
            </range>
          </ranges>
        </level>
      </levels>
      <selections count="1">
        <selection n="[application_unique].[DSR Group].[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on_Book" xr10:uid="{50614205-42D4-4E2A-8C7D-B2DF30AE3619}" sourceName="[performance].[Years on Book]">
  <pivotTables>
    <pivotTable tabId="1" name="PivotTable2"/>
    <pivotTable tabId="1" name="PivotTable3"/>
  </pivotTables>
  <data>
    <olap pivotCacheId="733915986">
      <levels count="2">
        <level uniqueName="[performance].[Years on Book].[(All)]" sourceCaption="(All)" count="0"/>
        <level uniqueName="[performance].[Years on Book].[Years on Book]" sourceCaption="Years on Book" count="6">
          <ranges>
            <range startItem="0">
              <i n="[performance].[Years on Book].&amp;[0]" c="0"/>
              <i n="[performance].[Years on Book].&amp;[1]" c="1"/>
              <i n="[performance].[Years on Book].&amp;[2]" c="2"/>
              <i n="[performance].[Years on Book].&amp;[3]" c="3"/>
              <i n="[performance].[Years on Book].&amp;[4]" c="4"/>
              <i n="[performance].[Years on Book].&amp;[5]" c="5"/>
            </range>
          </ranges>
        </level>
      </levels>
      <selections count="1">
        <selection n="[performance].[Years on Book].[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vince" xr10:uid="{4F48991C-8416-4FD5-A0B3-3CC05CFFC1A1}" sourceName="[application_unique].[Province]">
  <pivotTables>
    <pivotTable tabId="1" name="PivotTable2"/>
    <pivotTable tabId="1" name="PivotTable3"/>
  </pivotTables>
  <data>
    <olap pivotCacheId="733915986">
      <levels count="2">
        <level uniqueName="[application_unique].[Province].[(All)]" sourceCaption="(All)" count="0"/>
        <level uniqueName="[application_unique].[Province].[Province]" sourceCaption="Province" count="13">
          <ranges>
            <range startItem="0">
              <i n="[application_unique].[Province].&amp;[AB]" c="AB"/>
              <i n="[application_unique].[Province].&amp;[BC]" c="BC"/>
              <i n="[application_unique].[Province].&amp;[MB]" c="MB"/>
              <i n="[application_unique].[Province].&amp;[NB]" c="NB"/>
              <i n="[application_unique].[Province].&amp;[NL]" c="NL"/>
              <i n="[application_unique].[Province].&amp;[NS]" c="NS"/>
              <i n="[application_unique].[Province].&amp;[NU]" c="NU"/>
              <i n="[application_unique].[Province].&amp;[NW]" c="NW"/>
              <i n="[application_unique].[Province].&amp;[ON]" c="ON"/>
              <i n="[application_unique].[Province].&amp;[PE]" c="PE"/>
              <i n="[application_unique].[Province].&amp;[QC]" c="QC"/>
              <i n="[application_unique].[Province].&amp;[SK]" c="SK"/>
              <i n="[application_unique].[Province].&amp;[YT]" c="YT"/>
            </range>
          </ranges>
        </level>
      </levels>
      <selections count="1">
        <selection n="[application_unique].[Provinc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Utilization Group" xr10:uid="{B699CD94-6D83-4C98-8EF8-7BAB4F9419F3}" cache="Slicer_Utilization_Group" caption="Utilization Group" level="1" style="SlicerStyleLight3" lockedPosition="1" rowHeight="234950"/>
  <slicer name="Credit Score Group" xr10:uid="{F1F28C5C-D320-466A-A40C-9433FCDE5F69}" cache="Slicer_Credit_Score_Group" caption="Credit Score Group" level="1" style="SlicerStyleLight3" lockedPosition="1" rowHeight="234950"/>
  <slicer name="DSR Group" xr10:uid="{9C509FC9-5C5F-4ABD-BB94-CBF8C9FF3F69}" cache="Slicer_DSR_Group" caption="DSR Group" level="1" style="SlicerStyleLight3" lockedPosition="1" rowHeight="234950"/>
  <slicer name="Years on Book" xr10:uid="{C4BED871-560A-4BA4-BEFD-DEBC355CE6DA}" cache="Slicer_Years_on_Book" caption="Years on Book" columnCount="2" level="1" style="SlicerStyleLight3" lockedPosition="1" rowHeight="234950"/>
  <slicer name="Province" xr10:uid="{71D36F26-FAC2-489A-8043-565AE7C16C7A}" cache="Slicer_Province" caption="Province" columnCount="6" level="1" style="SlicerStyleLight3" lockedPosition="1" rowHeight="23495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A28246-A931-4577-9FF9-B7D741B5CA60}">
  <dimension ref="B2:L32"/>
  <sheetViews>
    <sheetView tabSelected="1" zoomScale="75" zoomScaleNormal="75" workbookViewId="0"/>
  </sheetViews>
  <sheetFormatPr defaultRowHeight="14.4" x14ac:dyDescent="0.3"/>
  <cols>
    <col min="2" max="2" width="15.109375" bestFit="1" customWidth="1"/>
    <col min="3" max="3" width="16.6640625" bestFit="1" customWidth="1"/>
    <col min="4" max="8" width="12.33203125" bestFit="1" customWidth="1"/>
    <col min="9" max="9" width="10.6640625" bestFit="1" customWidth="1"/>
    <col min="10" max="11" width="9.5546875" bestFit="1" customWidth="1"/>
    <col min="12" max="12" width="14.6640625" bestFit="1" customWidth="1"/>
  </cols>
  <sheetData>
    <row r="2" spans="2:12" x14ac:dyDescent="0.3">
      <c r="B2" s="1" t="s">
        <v>11</v>
      </c>
      <c r="C2" s="1" t="s">
        <v>2</v>
      </c>
    </row>
    <row r="3" spans="2:12" x14ac:dyDescent="0.3">
      <c r="B3" s="1" t="s">
        <v>0</v>
      </c>
      <c r="C3" s="5" t="s">
        <v>3</v>
      </c>
      <c r="D3" s="5" t="s">
        <v>4</v>
      </c>
      <c r="E3" s="5" t="s">
        <v>5</v>
      </c>
      <c r="F3" s="5" t="s">
        <v>6</v>
      </c>
      <c r="G3" s="5" t="s">
        <v>7</v>
      </c>
      <c r="H3" s="5" t="s">
        <v>45</v>
      </c>
      <c r="I3" s="5" t="s">
        <v>46</v>
      </c>
      <c r="J3" s="5" t="s">
        <v>47</v>
      </c>
      <c r="K3" s="5" t="s">
        <v>48</v>
      </c>
      <c r="L3" s="5" t="s">
        <v>1</v>
      </c>
    </row>
    <row r="4" spans="2:12" x14ac:dyDescent="0.3">
      <c r="B4" s="2">
        <v>43861</v>
      </c>
      <c r="C4" s="3">
        <v>14881</v>
      </c>
      <c r="D4" s="3">
        <v>830</v>
      </c>
      <c r="E4" s="3">
        <v>221</v>
      </c>
      <c r="F4" s="3">
        <v>115</v>
      </c>
      <c r="G4" s="3">
        <v>86</v>
      </c>
      <c r="H4" s="3">
        <v>58</v>
      </c>
      <c r="I4" s="3">
        <v>16</v>
      </c>
      <c r="J4" s="3">
        <v>9</v>
      </c>
      <c r="K4" s="3">
        <v>14</v>
      </c>
      <c r="L4" s="3">
        <v>16230</v>
      </c>
    </row>
    <row r="5" spans="2:12" x14ac:dyDescent="0.3">
      <c r="B5" s="2">
        <v>43890</v>
      </c>
      <c r="C5" s="3">
        <v>14491</v>
      </c>
      <c r="D5" s="3">
        <v>961</v>
      </c>
      <c r="E5" s="3">
        <v>243</v>
      </c>
      <c r="F5" s="3">
        <v>156</v>
      </c>
      <c r="G5" s="3">
        <v>63</v>
      </c>
      <c r="H5" s="3">
        <v>59</v>
      </c>
      <c r="I5" s="3">
        <v>25</v>
      </c>
      <c r="J5" s="3">
        <v>7</v>
      </c>
      <c r="K5" s="3"/>
      <c r="L5" s="3">
        <v>16005</v>
      </c>
    </row>
    <row r="6" spans="2:12" x14ac:dyDescent="0.3">
      <c r="B6" s="2">
        <v>43921</v>
      </c>
      <c r="C6" s="3">
        <v>14470</v>
      </c>
      <c r="D6" s="3">
        <v>674</v>
      </c>
      <c r="E6" s="3">
        <v>218</v>
      </c>
      <c r="F6" s="3">
        <v>130</v>
      </c>
      <c r="G6" s="3">
        <v>91</v>
      </c>
      <c r="H6" s="3">
        <v>49</v>
      </c>
      <c r="I6" s="3">
        <v>24</v>
      </c>
      <c r="J6" s="3">
        <v>1</v>
      </c>
      <c r="K6" s="3">
        <v>12</v>
      </c>
      <c r="L6" s="3">
        <v>15669</v>
      </c>
    </row>
    <row r="7" spans="2:12" x14ac:dyDescent="0.3">
      <c r="B7" s="2">
        <v>43951</v>
      </c>
      <c r="C7" s="3">
        <v>14521</v>
      </c>
      <c r="D7" s="3">
        <v>422</v>
      </c>
      <c r="E7" s="3">
        <v>184</v>
      </c>
      <c r="F7" s="3">
        <v>111</v>
      </c>
      <c r="G7" s="3">
        <v>69</v>
      </c>
      <c r="H7" s="3">
        <v>77</v>
      </c>
      <c r="I7" s="3">
        <v>17</v>
      </c>
      <c r="J7" s="3">
        <v>4</v>
      </c>
      <c r="K7" s="3">
        <v>15</v>
      </c>
      <c r="L7" s="3">
        <v>15420</v>
      </c>
    </row>
    <row r="8" spans="2:12" x14ac:dyDescent="0.3">
      <c r="B8" s="2">
        <v>43982</v>
      </c>
      <c r="C8" s="3">
        <v>14244</v>
      </c>
      <c r="D8" s="3">
        <v>498</v>
      </c>
      <c r="E8" s="3">
        <v>137</v>
      </c>
      <c r="F8" s="3">
        <v>96</v>
      </c>
      <c r="G8" s="3">
        <v>53</v>
      </c>
      <c r="H8" s="3">
        <v>52</v>
      </c>
      <c r="I8" s="3">
        <v>17</v>
      </c>
      <c r="J8" s="3">
        <v>1</v>
      </c>
      <c r="K8" s="3">
        <v>3</v>
      </c>
      <c r="L8" s="3">
        <v>15101</v>
      </c>
    </row>
    <row r="9" spans="2:12" x14ac:dyDescent="0.3">
      <c r="B9" s="2">
        <v>44012</v>
      </c>
      <c r="C9" s="3">
        <v>14026</v>
      </c>
      <c r="D9" s="3">
        <v>490</v>
      </c>
      <c r="E9" s="3">
        <v>123</v>
      </c>
      <c r="F9" s="3">
        <v>90</v>
      </c>
      <c r="G9" s="3">
        <v>45</v>
      </c>
      <c r="H9" s="3">
        <v>37</v>
      </c>
      <c r="I9" s="3">
        <v>9</v>
      </c>
      <c r="J9" s="3">
        <v>2</v>
      </c>
      <c r="K9" s="3">
        <v>1</v>
      </c>
      <c r="L9" s="3">
        <v>14823</v>
      </c>
    </row>
    <row r="10" spans="2:12" x14ac:dyDescent="0.3">
      <c r="B10" s="2">
        <v>44043</v>
      </c>
      <c r="C10" s="3">
        <v>13947</v>
      </c>
      <c r="D10" s="3">
        <v>383</v>
      </c>
      <c r="E10" s="3">
        <v>118</v>
      </c>
      <c r="F10" s="3">
        <v>65</v>
      </c>
      <c r="G10" s="3">
        <v>39</v>
      </c>
      <c r="H10" s="3">
        <v>38</v>
      </c>
      <c r="I10" s="3">
        <v>6</v>
      </c>
      <c r="J10" s="3">
        <v>2</v>
      </c>
      <c r="K10" s="3">
        <v>12</v>
      </c>
      <c r="L10" s="3">
        <v>14610</v>
      </c>
    </row>
    <row r="11" spans="2:12" x14ac:dyDescent="0.3">
      <c r="B11" s="2">
        <v>44074</v>
      </c>
      <c r="C11" s="3">
        <v>13711</v>
      </c>
      <c r="D11" s="3">
        <v>445</v>
      </c>
      <c r="E11" s="3">
        <v>117</v>
      </c>
      <c r="F11" s="3">
        <v>60</v>
      </c>
      <c r="G11" s="3">
        <v>43</v>
      </c>
      <c r="H11" s="3">
        <v>30</v>
      </c>
      <c r="I11" s="3">
        <v>8</v>
      </c>
      <c r="J11" s="3">
        <v>5</v>
      </c>
      <c r="K11" s="3">
        <v>1</v>
      </c>
      <c r="L11" s="3">
        <v>14420</v>
      </c>
    </row>
    <row r="12" spans="2:12" x14ac:dyDescent="0.3">
      <c r="B12" s="2">
        <v>44104</v>
      </c>
      <c r="C12" s="3">
        <v>13480</v>
      </c>
      <c r="D12" s="3">
        <v>492</v>
      </c>
      <c r="E12" s="3">
        <v>121</v>
      </c>
      <c r="F12" s="3">
        <v>67</v>
      </c>
      <c r="G12" s="3">
        <v>33</v>
      </c>
      <c r="H12" s="3">
        <v>28</v>
      </c>
      <c r="I12" s="3">
        <v>9</v>
      </c>
      <c r="J12" s="3">
        <v>3</v>
      </c>
      <c r="K12" s="3">
        <v>3</v>
      </c>
      <c r="L12" s="3">
        <v>14236</v>
      </c>
    </row>
    <row r="13" spans="2:12" x14ac:dyDescent="0.3">
      <c r="B13" s="2">
        <v>44135</v>
      </c>
      <c r="C13" s="3">
        <v>13410</v>
      </c>
      <c r="D13" s="3">
        <v>477</v>
      </c>
      <c r="E13" s="3">
        <v>147</v>
      </c>
      <c r="F13" s="3">
        <v>69</v>
      </c>
      <c r="G13" s="3">
        <v>30</v>
      </c>
      <c r="H13" s="3">
        <v>27</v>
      </c>
      <c r="I13" s="3">
        <v>14</v>
      </c>
      <c r="J13" s="3"/>
      <c r="K13" s="3">
        <v>1</v>
      </c>
      <c r="L13" s="3">
        <v>14175</v>
      </c>
    </row>
    <row r="14" spans="2:12" x14ac:dyDescent="0.3">
      <c r="B14" s="2">
        <v>44165</v>
      </c>
      <c r="C14" s="3">
        <v>13341</v>
      </c>
      <c r="D14" s="3">
        <v>476</v>
      </c>
      <c r="E14" s="3">
        <v>142</v>
      </c>
      <c r="F14" s="3">
        <v>72</v>
      </c>
      <c r="G14" s="3">
        <v>51</v>
      </c>
      <c r="H14" s="3">
        <v>19</v>
      </c>
      <c r="I14" s="3">
        <v>13</v>
      </c>
      <c r="J14" s="3">
        <v>5</v>
      </c>
      <c r="K14" s="3">
        <v>1</v>
      </c>
      <c r="L14" s="3">
        <v>14120</v>
      </c>
    </row>
    <row r="15" spans="2:12" x14ac:dyDescent="0.3">
      <c r="B15" s="2">
        <v>44196</v>
      </c>
      <c r="C15" s="3">
        <v>13368</v>
      </c>
      <c r="D15" s="3">
        <v>482</v>
      </c>
      <c r="E15" s="3">
        <v>118</v>
      </c>
      <c r="F15" s="3">
        <v>74</v>
      </c>
      <c r="G15" s="3">
        <v>47</v>
      </c>
      <c r="H15" s="3">
        <v>37</v>
      </c>
      <c r="I15" s="3">
        <v>9</v>
      </c>
      <c r="J15" s="3">
        <v>3</v>
      </c>
      <c r="K15" s="3">
        <v>1</v>
      </c>
      <c r="L15" s="3">
        <v>14139</v>
      </c>
    </row>
    <row r="19" spans="2:12" x14ac:dyDescent="0.3">
      <c r="B19" s="1" t="s">
        <v>12</v>
      </c>
      <c r="C19" s="1" t="s">
        <v>2</v>
      </c>
    </row>
    <row r="20" spans="2:12" x14ac:dyDescent="0.3">
      <c r="B20" s="1" t="s">
        <v>0</v>
      </c>
      <c r="C20" s="5" t="s">
        <v>3</v>
      </c>
      <c r="D20" s="5" t="s">
        <v>4</v>
      </c>
      <c r="E20" s="5" t="s">
        <v>5</v>
      </c>
      <c r="F20" s="5" t="s">
        <v>6</v>
      </c>
      <c r="G20" s="5" t="s">
        <v>7</v>
      </c>
      <c r="H20" s="5" t="s">
        <v>45</v>
      </c>
      <c r="I20" s="5" t="s">
        <v>46</v>
      </c>
      <c r="J20" s="5" t="s">
        <v>47</v>
      </c>
      <c r="K20" s="5" t="s">
        <v>48</v>
      </c>
      <c r="L20" s="5" t="s">
        <v>1</v>
      </c>
    </row>
    <row r="21" spans="2:12" x14ac:dyDescent="0.3">
      <c r="B21" s="44">
        <v>43861</v>
      </c>
      <c r="C21" s="4">
        <v>112495741.8</v>
      </c>
      <c r="D21" s="4">
        <v>8216535.6500000004</v>
      </c>
      <c r="E21" s="4">
        <v>2548377.71</v>
      </c>
      <c r="F21" s="4">
        <v>1171592.46</v>
      </c>
      <c r="G21" s="4">
        <v>963153.54</v>
      </c>
      <c r="H21" s="4">
        <v>616346.36</v>
      </c>
      <c r="I21" s="4">
        <v>217117.16</v>
      </c>
      <c r="J21" s="4">
        <v>77295.3</v>
      </c>
      <c r="K21" s="4">
        <v>20107.400000000001</v>
      </c>
      <c r="L21" s="4">
        <v>126326267.38</v>
      </c>
    </row>
    <row r="22" spans="2:12" x14ac:dyDescent="0.3">
      <c r="B22" s="44">
        <v>43890</v>
      </c>
      <c r="C22" s="4">
        <v>112851812.15000001</v>
      </c>
      <c r="D22" s="4">
        <v>9820325.8000000007</v>
      </c>
      <c r="E22" s="4">
        <v>2948575.47</v>
      </c>
      <c r="F22" s="4">
        <v>1909497.27</v>
      </c>
      <c r="G22" s="4">
        <v>628779.16</v>
      </c>
      <c r="H22" s="4">
        <v>685102.47</v>
      </c>
      <c r="I22" s="4">
        <v>325988.68</v>
      </c>
      <c r="J22" s="4">
        <v>69972.55</v>
      </c>
      <c r="K22" s="4"/>
      <c r="L22" s="4">
        <v>129240053.55</v>
      </c>
    </row>
    <row r="23" spans="2:12" x14ac:dyDescent="0.3">
      <c r="B23" s="44">
        <v>43921</v>
      </c>
      <c r="C23" s="4">
        <v>111083920.45</v>
      </c>
      <c r="D23" s="4">
        <v>7110081.9000000004</v>
      </c>
      <c r="E23" s="4">
        <v>2670337.66</v>
      </c>
      <c r="F23" s="4">
        <v>1622895.27</v>
      </c>
      <c r="G23" s="4">
        <v>1114828.6100000001</v>
      </c>
      <c r="H23" s="4">
        <v>493127.47</v>
      </c>
      <c r="I23" s="4">
        <v>350287</v>
      </c>
      <c r="J23" s="4">
        <v>5341.53</v>
      </c>
      <c r="K23" s="4">
        <v>46494.28</v>
      </c>
      <c r="L23" s="4">
        <v>124497314.17</v>
      </c>
    </row>
    <row r="24" spans="2:12" x14ac:dyDescent="0.3">
      <c r="B24" s="44">
        <v>43951</v>
      </c>
      <c r="C24" s="4">
        <v>104432059.05</v>
      </c>
      <c r="D24" s="4">
        <v>4388676.0999999996</v>
      </c>
      <c r="E24" s="4">
        <v>2344188.9700000002</v>
      </c>
      <c r="F24" s="4">
        <v>1493597.7</v>
      </c>
      <c r="G24" s="4">
        <v>829151.83</v>
      </c>
      <c r="H24" s="4">
        <v>1016487.91</v>
      </c>
      <c r="I24" s="4">
        <v>278008.7</v>
      </c>
      <c r="J24" s="4">
        <v>56784.56</v>
      </c>
      <c r="K24" s="4">
        <v>85933.99</v>
      </c>
      <c r="L24" s="4">
        <v>114924888.81</v>
      </c>
    </row>
    <row r="25" spans="2:12" x14ac:dyDescent="0.3">
      <c r="B25" s="44">
        <v>43982</v>
      </c>
      <c r="C25" s="4">
        <v>100835149.09999999</v>
      </c>
      <c r="D25" s="4">
        <v>5040604.4000000004</v>
      </c>
      <c r="E25" s="4">
        <v>1848539.72</v>
      </c>
      <c r="F25" s="4">
        <v>1237439.2</v>
      </c>
      <c r="G25" s="4">
        <v>707770.11</v>
      </c>
      <c r="H25" s="4">
        <v>632476.22</v>
      </c>
      <c r="I25" s="4">
        <v>284376.76</v>
      </c>
      <c r="J25" s="4">
        <v>18736.82</v>
      </c>
      <c r="K25" s="4">
        <v>18257.88</v>
      </c>
      <c r="L25" s="4">
        <v>110623350.20999999</v>
      </c>
    </row>
    <row r="26" spans="2:12" x14ac:dyDescent="0.3">
      <c r="B26" s="44">
        <v>44012</v>
      </c>
      <c r="C26" s="4">
        <v>100042720.25</v>
      </c>
      <c r="D26" s="4">
        <v>5030334.0999999996</v>
      </c>
      <c r="E26" s="4">
        <v>1703123.32</v>
      </c>
      <c r="F26" s="4">
        <v>1254855.67</v>
      </c>
      <c r="G26" s="4">
        <v>556875.15</v>
      </c>
      <c r="H26" s="4">
        <v>489316.81</v>
      </c>
      <c r="I26" s="4">
        <v>132377.54999999999</v>
      </c>
      <c r="J26" s="4">
        <v>29016.3</v>
      </c>
      <c r="K26" s="4">
        <v>12049.78</v>
      </c>
      <c r="L26" s="4">
        <v>109250668.93000001</v>
      </c>
    </row>
    <row r="27" spans="2:12" x14ac:dyDescent="0.3">
      <c r="B27" s="44">
        <v>44043</v>
      </c>
      <c r="C27" s="4">
        <v>100794696.90000001</v>
      </c>
      <c r="D27" s="4">
        <v>4013716</v>
      </c>
      <c r="E27" s="4">
        <v>1582902.53</v>
      </c>
      <c r="F27" s="4">
        <v>939039.71</v>
      </c>
      <c r="G27" s="4">
        <v>558421.21</v>
      </c>
      <c r="H27" s="4">
        <v>469339.73</v>
      </c>
      <c r="I27" s="4">
        <v>105263.32</v>
      </c>
      <c r="J27" s="4">
        <v>16178.09</v>
      </c>
      <c r="K27" s="4">
        <v>48998.1</v>
      </c>
      <c r="L27" s="4">
        <v>108528555.59</v>
      </c>
    </row>
    <row r="28" spans="2:12" x14ac:dyDescent="0.3">
      <c r="B28" s="44">
        <v>44074</v>
      </c>
      <c r="C28" s="4">
        <v>100587906.3</v>
      </c>
      <c r="D28" s="4">
        <v>4680992.8499999996</v>
      </c>
      <c r="E28" s="4">
        <v>1500384</v>
      </c>
      <c r="F28" s="4">
        <v>846035.94</v>
      </c>
      <c r="G28" s="4">
        <v>592823.31999999995</v>
      </c>
      <c r="H28" s="4">
        <v>434283.14</v>
      </c>
      <c r="I28" s="4">
        <v>122879.34</v>
      </c>
      <c r="J28" s="4">
        <v>74296.55</v>
      </c>
      <c r="K28" s="4">
        <v>4434.6099999999997</v>
      </c>
      <c r="L28" s="4">
        <v>108844036.05</v>
      </c>
    </row>
    <row r="29" spans="2:12" x14ac:dyDescent="0.3">
      <c r="B29" s="44">
        <v>44104</v>
      </c>
      <c r="C29" s="4">
        <v>99235391.799999997</v>
      </c>
      <c r="D29" s="4">
        <v>5212095.55</v>
      </c>
      <c r="E29" s="4">
        <v>1636458.63</v>
      </c>
      <c r="F29" s="4">
        <v>883014.33</v>
      </c>
      <c r="G29" s="4">
        <v>394496.4</v>
      </c>
      <c r="H29" s="4">
        <v>403554.38</v>
      </c>
      <c r="I29" s="4">
        <v>142939.99</v>
      </c>
      <c r="J29" s="4">
        <v>40309.29</v>
      </c>
      <c r="K29" s="4">
        <v>20359.009999999998</v>
      </c>
      <c r="L29" s="4">
        <v>107968619.38</v>
      </c>
    </row>
    <row r="30" spans="2:12" x14ac:dyDescent="0.3">
      <c r="B30" s="44">
        <v>44135</v>
      </c>
      <c r="C30" s="4">
        <v>99143416.5</v>
      </c>
      <c r="D30" s="4">
        <v>4963868.3</v>
      </c>
      <c r="E30" s="4">
        <v>1945496.81</v>
      </c>
      <c r="F30" s="4">
        <v>944123.36</v>
      </c>
      <c r="G30" s="4">
        <v>407211.74</v>
      </c>
      <c r="H30" s="4">
        <v>303853.25</v>
      </c>
      <c r="I30" s="4">
        <v>202478.57</v>
      </c>
      <c r="J30" s="4"/>
      <c r="K30" s="4">
        <v>829.02</v>
      </c>
      <c r="L30" s="4">
        <v>107911277.55</v>
      </c>
    </row>
    <row r="31" spans="2:12" x14ac:dyDescent="0.3">
      <c r="B31" s="44">
        <v>44165</v>
      </c>
      <c r="C31" s="4">
        <v>98996568.799999997</v>
      </c>
      <c r="D31" s="4">
        <v>4846079.8</v>
      </c>
      <c r="E31" s="4">
        <v>1915017.87</v>
      </c>
      <c r="F31" s="4">
        <v>975648.41</v>
      </c>
      <c r="G31" s="4">
        <v>682646.93</v>
      </c>
      <c r="H31" s="4">
        <v>250576.18</v>
      </c>
      <c r="I31" s="4">
        <v>201801.37</v>
      </c>
      <c r="J31" s="4">
        <v>57839.82</v>
      </c>
      <c r="K31" s="4">
        <v>2706.96</v>
      </c>
      <c r="L31" s="4">
        <v>107928886.14</v>
      </c>
    </row>
    <row r="32" spans="2:12" x14ac:dyDescent="0.3">
      <c r="B32" s="44">
        <v>44196</v>
      </c>
      <c r="C32" s="4">
        <v>98107750</v>
      </c>
      <c r="D32" s="4">
        <v>5114843.3</v>
      </c>
      <c r="E32" s="4">
        <v>1534613.01</v>
      </c>
      <c r="F32" s="4">
        <v>1040871.75</v>
      </c>
      <c r="G32" s="4">
        <v>626966.52</v>
      </c>
      <c r="H32" s="4">
        <v>496213.75</v>
      </c>
      <c r="I32" s="4">
        <v>144797.45000000001</v>
      </c>
      <c r="J32" s="4">
        <v>39227.42</v>
      </c>
      <c r="K32" s="4">
        <v>977.78</v>
      </c>
      <c r="L32" s="4">
        <v>107106260.98</v>
      </c>
    </row>
  </sheetData>
  <pageMargins left="0.7" right="0.7" top="0.75" bottom="0.75" header="0.3" footer="0.3"/>
  <pageSetup orientation="portrait"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82DB6-3EF1-4B8B-9867-0380EC27C3AA}">
  <dimension ref="B2:AL55"/>
  <sheetViews>
    <sheetView showGridLines="0" zoomScale="75" zoomScaleNormal="75" workbookViewId="0">
      <selection activeCell="A4" sqref="A4"/>
    </sheetView>
  </sheetViews>
  <sheetFormatPr defaultRowHeight="14.4" x14ac:dyDescent="0.3"/>
  <cols>
    <col min="2" max="2" width="13.88671875" customWidth="1"/>
    <col min="3" max="3" width="13.88671875" style="5" customWidth="1"/>
    <col min="4" max="4" width="14.6640625" bestFit="1" customWidth="1"/>
    <col min="5" max="6" width="13.88671875" customWidth="1"/>
    <col min="7" max="7" width="14.6640625" bestFit="1" customWidth="1"/>
    <col min="8" max="38" width="13.88671875" customWidth="1"/>
    <col min="39" max="39" width="6.77734375" bestFit="1" customWidth="1"/>
    <col min="40" max="40" width="11.6640625" bestFit="1" customWidth="1"/>
    <col min="41" max="41" width="11.21875" bestFit="1" customWidth="1"/>
    <col min="42" max="42" width="10.44140625" bestFit="1" customWidth="1"/>
    <col min="43" max="43" width="11.6640625" bestFit="1" customWidth="1"/>
    <col min="44" max="45" width="10" bestFit="1" customWidth="1"/>
  </cols>
  <sheetData>
    <row r="2" spans="2:38" ht="18" x14ac:dyDescent="0.3">
      <c r="B2" s="53" t="s">
        <v>35</v>
      </c>
      <c r="C2" s="53"/>
      <c r="D2" s="53"/>
      <c r="E2" s="53"/>
      <c r="F2" s="53"/>
      <c r="G2" s="53"/>
      <c r="H2" s="53"/>
      <c r="I2" s="53"/>
      <c r="J2" s="53"/>
      <c r="K2" s="53"/>
      <c r="L2" s="53"/>
      <c r="M2" s="53"/>
      <c r="N2" s="53"/>
      <c r="O2" s="53"/>
      <c r="P2" s="53"/>
      <c r="Q2" s="53"/>
    </row>
    <row r="3" spans="2:38" ht="15.6" x14ac:dyDescent="0.3">
      <c r="B3" s="54" t="s">
        <v>36</v>
      </c>
      <c r="C3" s="54"/>
      <c r="D3" s="54"/>
      <c r="E3" s="54"/>
      <c r="F3" s="54"/>
      <c r="G3" s="54"/>
      <c r="H3" s="54"/>
      <c r="I3" s="54"/>
      <c r="J3" s="54"/>
      <c r="K3" s="54"/>
      <c r="L3" s="54"/>
      <c r="M3" s="54"/>
      <c r="N3" s="54"/>
      <c r="O3" s="54"/>
      <c r="P3" s="54"/>
      <c r="Q3" s="54"/>
    </row>
    <row r="5" spans="2:38" x14ac:dyDescent="0.3">
      <c r="B5" s="55" t="s">
        <v>37</v>
      </c>
      <c r="C5" s="56"/>
      <c r="D5" s="55" t="s">
        <v>38</v>
      </c>
      <c r="E5" s="56"/>
      <c r="F5" s="55" t="s">
        <v>39</v>
      </c>
      <c r="G5" s="56"/>
      <c r="H5" s="55" t="s">
        <v>40</v>
      </c>
      <c r="I5" s="56"/>
      <c r="J5" s="55" t="s">
        <v>41</v>
      </c>
      <c r="K5" s="56"/>
      <c r="L5" s="55" t="s">
        <v>42</v>
      </c>
      <c r="M5" s="56"/>
      <c r="N5" s="55" t="s">
        <v>43</v>
      </c>
      <c r="O5" s="56"/>
      <c r="P5" s="55" t="s">
        <v>44</v>
      </c>
      <c r="Q5" s="56"/>
    </row>
    <row r="6" spans="2:38" x14ac:dyDescent="0.3">
      <c r="B6" s="49">
        <f>AVERAGE(D11:D22)</f>
        <v>113595848.22833334</v>
      </c>
      <c r="C6" s="50"/>
      <c r="D6" s="45">
        <f>G55</f>
        <v>3.383134469951371E-2</v>
      </c>
      <c r="E6" s="46"/>
      <c r="F6" s="45">
        <f>L55</f>
        <v>8.329223463543281E-2</v>
      </c>
      <c r="G6" s="46"/>
      <c r="H6" s="45">
        <f>Q23</f>
        <v>5.2445891821054809E-2</v>
      </c>
      <c r="I6" s="46"/>
      <c r="J6" s="45">
        <f>X23</f>
        <v>0.3484886604442074</v>
      </c>
      <c r="K6" s="46"/>
      <c r="L6" s="45">
        <f>AE23</f>
        <v>0.57836952251868712</v>
      </c>
      <c r="M6" s="46"/>
      <c r="N6" s="45">
        <f>AL23</f>
        <v>0.5386137025525306</v>
      </c>
      <c r="O6" s="46"/>
      <c r="P6" s="45">
        <f>I39</f>
        <v>0.75229320842993519</v>
      </c>
      <c r="Q6" s="46"/>
    </row>
    <row r="7" spans="2:38" x14ac:dyDescent="0.3">
      <c r="B7" s="51"/>
      <c r="C7" s="52"/>
      <c r="D7" s="47"/>
      <c r="E7" s="48"/>
      <c r="F7" s="47"/>
      <c r="G7" s="48"/>
      <c r="H7" s="47"/>
      <c r="I7" s="48"/>
      <c r="J7" s="47"/>
      <c r="K7" s="48"/>
      <c r="L7" s="47"/>
      <c r="M7" s="48"/>
      <c r="N7" s="47"/>
      <c r="O7" s="48"/>
      <c r="P7" s="47"/>
      <c r="Q7" s="48"/>
    </row>
    <row r="8" spans="2:38" ht="15" thickBot="1" x14ac:dyDescent="0.35"/>
    <row r="9" spans="2:38" ht="15" thickBot="1" x14ac:dyDescent="0.35">
      <c r="C9" s="80" t="s">
        <v>17</v>
      </c>
      <c r="D9" s="81"/>
      <c r="E9" s="82"/>
      <c r="F9" s="87" t="s">
        <v>21</v>
      </c>
      <c r="G9" s="88"/>
      <c r="H9" s="88"/>
      <c r="I9" s="88"/>
      <c r="J9" s="89"/>
      <c r="K9" s="67" t="s">
        <v>20</v>
      </c>
      <c r="L9" s="68"/>
      <c r="M9" s="68"/>
      <c r="N9" s="68"/>
      <c r="O9" s="68"/>
      <c r="P9" s="68"/>
      <c r="Q9" s="69"/>
      <c r="R9" s="67" t="s">
        <v>24</v>
      </c>
      <c r="S9" s="68"/>
      <c r="T9" s="68"/>
      <c r="U9" s="68"/>
      <c r="V9" s="68"/>
      <c r="W9" s="68"/>
      <c r="X9" s="69"/>
      <c r="Y9" s="67" t="s">
        <v>25</v>
      </c>
      <c r="Z9" s="68"/>
      <c r="AA9" s="68"/>
      <c r="AB9" s="68"/>
      <c r="AC9" s="68"/>
      <c r="AD9" s="68"/>
      <c r="AE9" s="69"/>
      <c r="AF9" s="67" t="s">
        <v>26</v>
      </c>
      <c r="AG9" s="68"/>
      <c r="AH9" s="68"/>
      <c r="AI9" s="68"/>
      <c r="AJ9" s="68"/>
      <c r="AK9" s="68"/>
      <c r="AL9" s="69"/>
    </row>
    <row r="10" spans="2:38" x14ac:dyDescent="0.3">
      <c r="B10" s="25" t="s">
        <v>13</v>
      </c>
      <c r="C10" s="26" t="s">
        <v>14</v>
      </c>
      <c r="D10" s="27" t="s">
        <v>15</v>
      </c>
      <c r="E10" s="28" t="s">
        <v>16</v>
      </c>
      <c r="F10" s="29" t="s">
        <v>14</v>
      </c>
      <c r="G10" s="30" t="s">
        <v>15</v>
      </c>
      <c r="H10" s="30" t="s">
        <v>16</v>
      </c>
      <c r="I10" s="30" t="s">
        <v>28</v>
      </c>
      <c r="J10" s="31" t="s">
        <v>18</v>
      </c>
      <c r="K10" s="32" t="s">
        <v>14</v>
      </c>
      <c r="L10" s="33" t="s">
        <v>15</v>
      </c>
      <c r="M10" s="33" t="s">
        <v>16</v>
      </c>
      <c r="N10" s="33" t="s">
        <v>28</v>
      </c>
      <c r="O10" s="33" t="s">
        <v>18</v>
      </c>
      <c r="P10" s="70" t="s">
        <v>22</v>
      </c>
      <c r="Q10" s="72" t="s">
        <v>23</v>
      </c>
      <c r="R10" s="32" t="s">
        <v>14</v>
      </c>
      <c r="S10" s="33" t="s">
        <v>15</v>
      </c>
      <c r="T10" s="33" t="s">
        <v>16</v>
      </c>
      <c r="U10" s="33" t="s">
        <v>28</v>
      </c>
      <c r="V10" s="33" t="s">
        <v>18</v>
      </c>
      <c r="W10" s="70" t="s">
        <v>22</v>
      </c>
      <c r="X10" s="72" t="s">
        <v>23</v>
      </c>
      <c r="Y10" s="32" t="s">
        <v>14</v>
      </c>
      <c r="Z10" s="33" t="s">
        <v>15</v>
      </c>
      <c r="AA10" s="33" t="s">
        <v>16</v>
      </c>
      <c r="AB10" s="33" t="s">
        <v>28</v>
      </c>
      <c r="AC10" s="33" t="s">
        <v>18</v>
      </c>
      <c r="AD10" s="70" t="s">
        <v>22</v>
      </c>
      <c r="AE10" s="72" t="s">
        <v>23</v>
      </c>
      <c r="AF10" s="32" t="s">
        <v>14</v>
      </c>
      <c r="AG10" s="33" t="s">
        <v>15</v>
      </c>
      <c r="AH10" s="33" t="s">
        <v>16</v>
      </c>
      <c r="AI10" s="33" t="s">
        <v>28</v>
      </c>
      <c r="AJ10" s="33" t="s">
        <v>18</v>
      </c>
      <c r="AK10" s="70" t="s">
        <v>22</v>
      </c>
      <c r="AL10" s="72" t="s">
        <v>23</v>
      </c>
    </row>
    <row r="11" spans="2:38" x14ac:dyDescent="0.3">
      <c r="B11" s="17">
        <v>43861</v>
      </c>
      <c r="C11" s="10">
        <f>GETPIVOTDATA("[Measures].[Count of Card ID]",'Pivot Table'!$B$2,"[performance].[Month]","[performance].[Month].&amp;"&amp;"["&amp;TEXT($B11,"yyyy-mm-dd""T00:00:00""")&amp;"]")</f>
        <v>16230</v>
      </c>
      <c r="D11" s="6">
        <f>GETPIVOTDATA("[Measures].[Sum of Balance]",'Pivot Table'!$B$19,"[performance].[Month]","[performance].[Month].&amp;"&amp;"["&amp;TEXT($B11,"yyyy-mm-dd""T00:00:00""")&amp;"]")</f>
        <v>126326267.38</v>
      </c>
      <c r="E11" s="11">
        <f>IFERROR(D11/C11,0)</f>
        <v>7783.5038434996914</v>
      </c>
      <c r="F11" s="10">
        <f>GETPIVOTDATA("[Measures].[Count of Card ID]",'Pivot Table'!$B$2,"[performance].[Month]","[performance].[Month].&amp;"&amp;"["&amp;TEXT($B11,"yyyy-mm-dd""T00:00:00""")&amp;"]","[performance].[Cycle]","[performance].[Cycle].&amp;[0]")</f>
        <v>14881</v>
      </c>
      <c r="G11" s="6">
        <f>GETPIVOTDATA("[Measures].[Sum of Balance]",'Pivot Table'!$B$19,"[performance].[Month]","[performance].[Month].&amp;"&amp;"["&amp;TEXT($B11,"yyyy-mm-dd""T00:00:00""")&amp;"]","[performance].[Cycle]","[performance].[Cycle].&amp;[0]")</f>
        <v>112495741.8</v>
      </c>
      <c r="H11" s="6">
        <f>IFERROR(G11/F11,0)</f>
        <v>7559.689657953094</v>
      </c>
      <c r="I11" s="7">
        <f>IFERROR(F11/$C11,0)</f>
        <v>0.91688231669747378</v>
      </c>
      <c r="J11" s="19">
        <f>IFERROR(G11/$D11,0)</f>
        <v>0.89051742074831819</v>
      </c>
      <c r="K11" s="10">
        <f>GETPIVOTDATA("[Measures].[Count of Card ID]",'Pivot Table'!$B$2,"[performance].[Month]","[performance].[Month].&amp;"&amp;"["&amp;TEXT($B11,"yyyy-mm-dd""T00:00:00""")&amp;"]","[performance].[Cycle]","[performance].[Cycle].&amp;[1]")</f>
        <v>830</v>
      </c>
      <c r="L11" s="6">
        <f>GETPIVOTDATA("[Measures].[Sum of Balance]",'Pivot Table'!$B$19,"[performance].[Month]","[performance].[Month].&amp;"&amp;"["&amp;TEXT($B11,"yyyy-mm-dd""T00:00:00""")&amp;"]","[performance].[Cycle]","[performance].[Cycle].&amp;[1]")</f>
        <v>8216535.6500000004</v>
      </c>
      <c r="M11" s="6">
        <f>IFERROR(L11/K11,0)</f>
        <v>9899.4405421686752</v>
      </c>
      <c r="N11" s="7">
        <f>IFERROR(K11/$C11,0)</f>
        <v>5.1139864448552064E-2</v>
      </c>
      <c r="O11" s="7">
        <f>IFERROR(L11/$D11,0)</f>
        <v>6.5042178641152859E-2</v>
      </c>
      <c r="P11" s="71"/>
      <c r="Q11" s="73"/>
      <c r="R11" s="10">
        <f>GETPIVOTDATA("[Measures].[Count of Card ID]",'Pivot Table'!$B$2,"[performance].[Month]","[performance].[Month].&amp;"&amp;"["&amp;TEXT($B11,"yyyy-mm-dd""T00:00:00""")&amp;"]","[performance].[Cycle]","[performance].[Cycle].&amp;[2]")</f>
        <v>221</v>
      </c>
      <c r="S11" s="6">
        <f>GETPIVOTDATA("[Measures].[Sum of Balance]",'Pivot Table'!$B$19,"[performance].[Month]","[performance].[Month].&amp;"&amp;"["&amp;TEXT($B11,"yyyy-mm-dd""T00:00:00""")&amp;"]","[performance].[Cycle]","[performance].[Cycle].&amp;[2]")</f>
        <v>2548377.71</v>
      </c>
      <c r="T11" s="6">
        <f>IFERROR(S11/R11,0)</f>
        <v>11531.120859728506</v>
      </c>
      <c r="U11" s="7">
        <f>IFERROR(R11/$C11,0)</f>
        <v>1.3616759088108442E-2</v>
      </c>
      <c r="V11" s="7">
        <f>IFERROR(S11/$D11,0)</f>
        <v>2.0172983520001159E-2</v>
      </c>
      <c r="W11" s="71"/>
      <c r="X11" s="73"/>
      <c r="Y11" s="10">
        <f>GETPIVOTDATA("[Measures].[Count of Card ID]",'Pivot Table'!$B$2,"[performance].[Month]","[performance].[Month].&amp;"&amp;"["&amp;TEXT($B11,"yyyy-mm-dd""T00:00:00""")&amp;"]","[performance].[Cycle]","[performance].[Cycle].&amp;[3]")</f>
        <v>115</v>
      </c>
      <c r="Z11" s="6">
        <f>GETPIVOTDATA("[Measures].[Sum of Balance]",'Pivot Table'!$B$19,"[performance].[Month]","[performance].[Month].&amp;"&amp;"["&amp;TEXT($B11,"yyyy-mm-dd""T00:00:00""")&amp;"]","[performance].[Cycle]","[performance].[Cycle].&amp;[3]")</f>
        <v>1171592.46</v>
      </c>
      <c r="AA11" s="6">
        <f>IFERROR(Z11/Y11,0)</f>
        <v>10187.76052173913</v>
      </c>
      <c r="AB11" s="7">
        <f>IFERROR(Y11/$C11,0)</f>
        <v>7.0856438693776957E-3</v>
      </c>
      <c r="AC11" s="7">
        <f>IFERROR(Z11/$D11,0)</f>
        <v>9.2743376678403044E-3</v>
      </c>
      <c r="AD11" s="71"/>
      <c r="AE11" s="73"/>
      <c r="AF11" s="10">
        <f>GETPIVOTDATA("[Measures].[Count of Card ID]",'Pivot Table'!$B$2,"[performance].[Month]","[performance].[Month].&amp;"&amp;"["&amp;TEXT($B11,"yyyy-mm-dd""T00:00:00""")&amp;"]","[performance].[Cycle]","[performance].[Cycle].&amp;[4]")</f>
        <v>86</v>
      </c>
      <c r="AG11" s="6">
        <f>GETPIVOTDATA("[Measures].[Sum of Balance]",'Pivot Table'!$B$19,"[performance].[Month]","[performance].[Month].&amp;"&amp;"["&amp;TEXT($B11,"yyyy-mm-dd""T00:00:00""")&amp;"]","[performance].[Cycle]","[performance].[Cycle].&amp;[4]")</f>
        <v>963153.54</v>
      </c>
      <c r="AH11" s="6">
        <f>IFERROR(AG11/AF11,0)</f>
        <v>11199.45976744186</v>
      </c>
      <c r="AI11" s="7">
        <f>IFERROR(AF11/$C11,0)</f>
        <v>5.2988293284041898E-3</v>
      </c>
      <c r="AJ11" s="7">
        <f>IFERROR(AG11/$D11,0)</f>
        <v>7.6243330858716306E-3</v>
      </c>
      <c r="AK11" s="71"/>
      <c r="AL11" s="73"/>
    </row>
    <row r="12" spans="2:38" x14ac:dyDescent="0.3">
      <c r="B12" s="17">
        <v>43890</v>
      </c>
      <c r="C12" s="10">
        <f>GETPIVOTDATA("[Measures].[Count of Card ID]",'Pivot Table'!$B$2,"[performance].[Month]","[performance].[Month].&amp;"&amp;"["&amp;TEXT($B12,"yyyy-mm-dd""T00:00:00""")&amp;"]")</f>
        <v>16005</v>
      </c>
      <c r="D12" s="6">
        <f>GETPIVOTDATA("[Measures].[Sum of Balance]",'Pivot Table'!$B$19,"[performance].[Month]","[performance].[Month].&amp;"&amp;"["&amp;TEXT($B12,"yyyy-mm-dd""T00:00:00""")&amp;"]")</f>
        <v>129240053.55</v>
      </c>
      <c r="E12" s="11">
        <f t="shared" ref="E12:E22" si="0">IFERROR(D12/C12,0)</f>
        <v>8074.9799156513591</v>
      </c>
      <c r="F12" s="10">
        <f>GETPIVOTDATA("[Measures].[Count of Card ID]",'Pivot Table'!$B$2,"[performance].[Month]","[performance].[Month].&amp;"&amp;"["&amp;TEXT($B12,"yyyy-mm-dd""T00:00:00""")&amp;"]","[performance].[Cycle]","[performance].[Cycle].&amp;[0]")</f>
        <v>14491</v>
      </c>
      <c r="G12" s="6">
        <f>GETPIVOTDATA("[Measures].[Sum of Balance]",'Pivot Table'!$B$19,"[performance].[Month]","[performance].[Month].&amp;"&amp;"["&amp;TEXT($B12,"yyyy-mm-dd""T00:00:00""")&amp;"]","[performance].[Cycle]","[performance].[Cycle].&amp;[0]")</f>
        <v>112851812.15000001</v>
      </c>
      <c r="H12" s="6">
        <f t="shared" ref="H12:H22" si="1">IFERROR(G12/F12,0)</f>
        <v>7787.7173521496106</v>
      </c>
      <c r="I12" s="7">
        <f t="shared" ref="I12:I22" si="2">IFERROR(F12/$C12,0)</f>
        <v>0.90540456107466416</v>
      </c>
      <c r="J12" s="19">
        <f t="shared" ref="J12:J22" si="3">IFERROR(G12/$D12,0)</f>
        <v>0.87319533728249532</v>
      </c>
      <c r="K12" s="10">
        <f>GETPIVOTDATA("[Measures].[Count of Card ID]",'Pivot Table'!$B$2,"[performance].[Month]","[performance].[Month].&amp;"&amp;"["&amp;TEXT($B12,"yyyy-mm-dd""T00:00:00""")&amp;"]","[performance].[Cycle]","[performance].[Cycle].&amp;[1]")</f>
        <v>961</v>
      </c>
      <c r="L12" s="6">
        <f>GETPIVOTDATA("[Measures].[Sum of Balance]",'Pivot Table'!$B$19,"[performance].[Month]","[performance].[Month].&amp;"&amp;"["&amp;TEXT($B12,"yyyy-mm-dd""T00:00:00""")&amp;"]","[performance].[Cycle]","[performance].[Cycle].&amp;[1]")</f>
        <v>9820325.8000000007</v>
      </c>
      <c r="M12" s="6">
        <f t="shared" ref="M12:M22" si="4">IFERROR(L12/K12,0)</f>
        <v>10218.861394380854</v>
      </c>
      <c r="N12" s="7">
        <f t="shared" ref="N12:N22" si="5">IFERROR(K12/$C12,0)</f>
        <v>6.0043736332396125E-2</v>
      </c>
      <c r="O12" s="7">
        <f t="shared" ref="O12:O22" si="6">IFERROR(L12/$D12,0)</f>
        <v>7.5985157311937696E-2</v>
      </c>
      <c r="P12" s="7">
        <f>IFERROR(K12/F11,0)</f>
        <v>6.4578993347221295E-2</v>
      </c>
      <c r="Q12" s="15">
        <f>IFERROR(L12/G11,0)</f>
        <v>8.7295089066206782E-2</v>
      </c>
      <c r="R12" s="10">
        <f>GETPIVOTDATA("[Measures].[Count of Card ID]",'Pivot Table'!$B$2,"[performance].[Month]","[performance].[Month].&amp;"&amp;"["&amp;TEXT($B12,"yyyy-mm-dd""T00:00:00""")&amp;"]","[performance].[Cycle]","[performance].[Cycle].&amp;[2]")</f>
        <v>243</v>
      </c>
      <c r="S12" s="6">
        <f>GETPIVOTDATA("[Measures].[Sum of Balance]",'Pivot Table'!$B$19,"[performance].[Month]","[performance].[Month].&amp;"&amp;"["&amp;TEXT($B12,"yyyy-mm-dd""T00:00:00""")&amp;"]","[performance].[Cycle]","[performance].[Cycle].&amp;[2]")</f>
        <v>2948575.47</v>
      </c>
      <c r="T12" s="6">
        <f t="shared" ref="T12:T22" si="7">IFERROR(S12/R12,0)</f>
        <v>12134.055432098767</v>
      </c>
      <c r="U12" s="7">
        <f t="shared" ref="U12:U22" si="8">IFERROR(R12/$C12,0)</f>
        <v>1.5182755388940957E-2</v>
      </c>
      <c r="V12" s="7">
        <f t="shared" ref="V12:V22" si="9">IFERROR(S12/$D12,0)</f>
        <v>2.2814718726956146E-2</v>
      </c>
      <c r="W12" s="7">
        <f>IFERROR(R12/M11,0)</f>
        <v>2.4546841709376627E-2</v>
      </c>
      <c r="X12" s="15">
        <f>IFERROR(S12/L11,0)</f>
        <v>0.3588587204632892</v>
      </c>
      <c r="Y12" s="10">
        <f>GETPIVOTDATA("[Measures].[Count of Card ID]",'Pivot Table'!$B$2,"[performance].[Month]","[performance].[Month].&amp;"&amp;"["&amp;TEXT($B12,"yyyy-mm-dd""T00:00:00""")&amp;"]","[performance].[Cycle]","[performance].[Cycle].&amp;[3]")</f>
        <v>156</v>
      </c>
      <c r="Z12" s="6">
        <f>GETPIVOTDATA("[Measures].[Sum of Balance]",'Pivot Table'!$B$19,"[performance].[Month]","[performance].[Month].&amp;"&amp;"["&amp;TEXT($B12,"yyyy-mm-dd""T00:00:00""")&amp;"]","[performance].[Cycle]","[performance].[Cycle].&amp;[3]")</f>
        <v>1909497.27</v>
      </c>
      <c r="AA12" s="6">
        <f t="shared" ref="AA12:AA22" si="10">IFERROR(Z12/Y12,0)</f>
        <v>12240.367115384615</v>
      </c>
      <c r="AB12" s="7">
        <f t="shared" ref="AB12:AB22" si="11">IFERROR(Y12/$C12,0)</f>
        <v>9.7469540768509843E-3</v>
      </c>
      <c r="AC12" s="7">
        <f t="shared" ref="AC12:AC22" si="12">IFERROR(Z12/$D12,0)</f>
        <v>1.4774810266240408E-2</v>
      </c>
      <c r="AD12" s="7">
        <f>IFERROR(Y12/T11,0)</f>
        <v>1.3528606793535328E-2</v>
      </c>
      <c r="AE12" s="15">
        <f>IFERROR(Z12/S11,0)</f>
        <v>0.74929915707040151</v>
      </c>
      <c r="AF12" s="10">
        <f>GETPIVOTDATA("[Measures].[Count of Card ID]",'Pivot Table'!$B$2,"[performance].[Month]","[performance].[Month].&amp;"&amp;"["&amp;TEXT($B12,"yyyy-mm-dd""T00:00:00""")&amp;"]","[performance].[Cycle]","[performance].[Cycle].&amp;[4]")</f>
        <v>63</v>
      </c>
      <c r="AG12" s="6">
        <f>GETPIVOTDATA("[Measures].[Sum of Balance]",'Pivot Table'!$B$19,"[performance].[Month]","[performance].[Month].&amp;"&amp;"["&amp;TEXT($B12,"yyyy-mm-dd""T00:00:00""")&amp;"]","[performance].[Cycle]","[performance].[Cycle].&amp;[4]")</f>
        <v>628779.16</v>
      </c>
      <c r="AH12" s="6">
        <f t="shared" ref="AH12:AH22" si="13">IFERROR(AG12/AF12,0)</f>
        <v>9980.6215873015881</v>
      </c>
      <c r="AI12" s="7">
        <f t="shared" ref="AI12:AI22" si="14">IFERROR(AF12/$C12,0)</f>
        <v>3.9362699156513586E-3</v>
      </c>
      <c r="AJ12" s="7">
        <f t="shared" ref="AJ12:AJ22" si="15">IFERROR(AG12/$D12,0)</f>
        <v>4.8652034932555937E-3</v>
      </c>
      <c r="AK12" s="7">
        <f>IFERROR(AF12/AA11,0)</f>
        <v>6.1838909410530012E-3</v>
      </c>
      <c r="AL12" s="15">
        <f>IFERROR(AG12/Z11,0)</f>
        <v>0.53668761234602014</v>
      </c>
    </row>
    <row r="13" spans="2:38" x14ac:dyDescent="0.3">
      <c r="B13" s="17">
        <v>43921</v>
      </c>
      <c r="C13" s="10">
        <f>GETPIVOTDATA("[Measures].[Count of Card ID]",'Pivot Table'!$B$2,"[performance].[Month]","[performance].[Month].&amp;"&amp;"["&amp;TEXT($B13,"yyyy-mm-dd""T00:00:00""")&amp;"]")</f>
        <v>15669</v>
      </c>
      <c r="D13" s="6">
        <f>GETPIVOTDATA("[Measures].[Sum of Balance]",'Pivot Table'!$B$19,"[performance].[Month]","[performance].[Month].&amp;"&amp;"["&amp;TEXT($B13,"yyyy-mm-dd""T00:00:00""")&amp;"]")</f>
        <v>124497314.17</v>
      </c>
      <c r="E13" s="11">
        <f t="shared" si="0"/>
        <v>7945.4537092347946</v>
      </c>
      <c r="F13" s="10">
        <f>GETPIVOTDATA("[Measures].[Count of Card ID]",'Pivot Table'!$B$2,"[performance].[Month]","[performance].[Month].&amp;"&amp;"["&amp;TEXT($B13,"yyyy-mm-dd""T00:00:00""")&amp;"]","[performance].[Cycle]","[performance].[Cycle].&amp;[0]")</f>
        <v>14470</v>
      </c>
      <c r="G13" s="6">
        <f>GETPIVOTDATA("[Measures].[Sum of Balance]",'Pivot Table'!$B$19,"[performance].[Month]","[performance].[Month].&amp;"&amp;"["&amp;TEXT($B13,"yyyy-mm-dd""T00:00:00""")&amp;"]","[performance].[Cycle]","[performance].[Cycle].&amp;[0]")</f>
        <v>111083920.45</v>
      </c>
      <c r="H13" s="6">
        <f t="shared" si="1"/>
        <v>7676.8431548030412</v>
      </c>
      <c r="I13" s="7">
        <f t="shared" si="2"/>
        <v>0.9234794817793095</v>
      </c>
      <c r="J13" s="19">
        <f t="shared" si="3"/>
        <v>0.89225957355446139</v>
      </c>
      <c r="K13" s="10">
        <f>GETPIVOTDATA("[Measures].[Count of Card ID]",'Pivot Table'!$B$2,"[performance].[Month]","[performance].[Month].&amp;"&amp;"["&amp;TEXT($B13,"yyyy-mm-dd""T00:00:00""")&amp;"]","[performance].[Cycle]","[performance].[Cycle].&amp;[1]")</f>
        <v>674</v>
      </c>
      <c r="L13" s="6">
        <f>GETPIVOTDATA("[Measures].[Sum of Balance]",'Pivot Table'!$B$19,"[performance].[Month]","[performance].[Month].&amp;"&amp;"["&amp;TEXT($B13,"yyyy-mm-dd""T00:00:00""")&amp;"]","[performance].[Cycle]","[performance].[Cycle].&amp;[1]")</f>
        <v>7110081.9000000004</v>
      </c>
      <c r="M13" s="6">
        <f t="shared" si="4"/>
        <v>10549.08293768546</v>
      </c>
      <c r="N13" s="7">
        <f t="shared" si="5"/>
        <v>4.3014870125725954E-2</v>
      </c>
      <c r="O13" s="7">
        <f t="shared" si="6"/>
        <v>5.7110323603377061E-2</v>
      </c>
      <c r="P13" s="7">
        <f t="shared" ref="P13:P22" si="16">IFERROR(K13/F12,0)</f>
        <v>4.6511627906976744E-2</v>
      </c>
      <c r="Q13" s="15">
        <f t="shared" ref="Q13:Q22" si="17">IFERROR(L13/G12,0)</f>
        <v>6.3003701620222494E-2</v>
      </c>
      <c r="R13" s="10">
        <f>GETPIVOTDATA("[Measures].[Count of Card ID]",'Pivot Table'!$B$2,"[performance].[Month]","[performance].[Month].&amp;"&amp;"["&amp;TEXT($B13,"yyyy-mm-dd""T00:00:00""")&amp;"]","[performance].[Cycle]","[performance].[Cycle].&amp;[2]")</f>
        <v>218</v>
      </c>
      <c r="S13" s="6">
        <f>GETPIVOTDATA("[Measures].[Sum of Balance]",'Pivot Table'!$B$19,"[performance].[Month]","[performance].[Month].&amp;"&amp;"["&amp;TEXT($B13,"yyyy-mm-dd""T00:00:00""")&amp;"]","[performance].[Cycle]","[performance].[Cycle].&amp;[2]")</f>
        <v>2670337.66</v>
      </c>
      <c r="T13" s="6">
        <f t="shared" si="7"/>
        <v>12249.255321100918</v>
      </c>
      <c r="U13" s="7">
        <f t="shared" si="8"/>
        <v>1.3912821494671006E-2</v>
      </c>
      <c r="V13" s="7">
        <f t="shared" si="9"/>
        <v>2.144895797795025E-2</v>
      </c>
      <c r="W13" s="7">
        <f t="shared" ref="W13:W22" si="18">IFERROR(R13/M12,0)</f>
        <v>2.1333100781646162E-2</v>
      </c>
      <c r="X13" s="15">
        <f t="shared" ref="X13:X22" si="19">IFERROR(S13/L12,0)</f>
        <v>0.27191945709173926</v>
      </c>
      <c r="Y13" s="10">
        <f>GETPIVOTDATA("[Measures].[Count of Card ID]",'Pivot Table'!$B$2,"[performance].[Month]","[performance].[Month].&amp;"&amp;"["&amp;TEXT($B13,"yyyy-mm-dd""T00:00:00""")&amp;"]","[performance].[Cycle]","[performance].[Cycle].&amp;[3]")</f>
        <v>130</v>
      </c>
      <c r="Z13" s="6">
        <f>GETPIVOTDATA("[Measures].[Sum of Balance]",'Pivot Table'!$B$19,"[performance].[Month]","[performance].[Month].&amp;"&amp;"["&amp;TEXT($B13,"yyyy-mm-dd""T00:00:00""")&amp;"]","[performance].[Cycle]","[performance].[Cycle].&amp;[3]")</f>
        <v>1622895.27</v>
      </c>
      <c r="AA13" s="6">
        <f t="shared" si="10"/>
        <v>12483.809769230769</v>
      </c>
      <c r="AB13" s="7">
        <f t="shared" si="11"/>
        <v>8.2966366711340871E-3</v>
      </c>
      <c r="AC13" s="7">
        <f t="shared" si="12"/>
        <v>1.303558458927034E-2</v>
      </c>
      <c r="AD13" s="7">
        <f t="shared" ref="AD13:AD22" si="20">IFERROR(Y13/T12,0)</f>
        <v>1.0713648106148017E-2</v>
      </c>
      <c r="AE13" s="15">
        <f t="shared" ref="AE13:AE22" si="21">IFERROR(Z13/S12,0)</f>
        <v>0.55039977321658984</v>
      </c>
      <c r="AF13" s="10">
        <f>GETPIVOTDATA("[Measures].[Count of Card ID]",'Pivot Table'!$B$2,"[performance].[Month]","[performance].[Month].&amp;"&amp;"["&amp;TEXT($B13,"yyyy-mm-dd""T00:00:00""")&amp;"]","[performance].[Cycle]","[performance].[Cycle].&amp;[4]")</f>
        <v>91</v>
      </c>
      <c r="AG13" s="6">
        <f>GETPIVOTDATA("[Measures].[Sum of Balance]",'Pivot Table'!$B$19,"[performance].[Month]","[performance].[Month].&amp;"&amp;"["&amp;TEXT($B13,"yyyy-mm-dd""T00:00:00""")&amp;"]","[performance].[Cycle]","[performance].[Cycle].&amp;[4]")</f>
        <v>1114828.6100000001</v>
      </c>
      <c r="AH13" s="6">
        <f t="shared" si="13"/>
        <v>12250.863846153847</v>
      </c>
      <c r="AI13" s="7">
        <f t="shared" si="14"/>
        <v>5.8076456697938603E-3</v>
      </c>
      <c r="AJ13" s="7">
        <f t="shared" si="15"/>
        <v>8.9546398445006711E-3</v>
      </c>
      <c r="AK13" s="7">
        <f t="shared" ref="AK13:AK22" si="22">IFERROR(AF13/AA12,0)</f>
        <v>7.4344175417438542E-3</v>
      </c>
      <c r="AL13" s="15">
        <f t="shared" ref="AL13:AL22" si="23">IFERROR(AG13/Z12,0)</f>
        <v>0.58383357102154965</v>
      </c>
    </row>
    <row r="14" spans="2:38" x14ac:dyDescent="0.3">
      <c r="B14" s="17">
        <v>43951</v>
      </c>
      <c r="C14" s="10">
        <f>GETPIVOTDATA("[Measures].[Count of Card ID]",'Pivot Table'!$B$2,"[performance].[Month]","[performance].[Month].&amp;"&amp;"["&amp;TEXT($B14,"yyyy-mm-dd""T00:00:00""")&amp;"]")</f>
        <v>15420</v>
      </c>
      <c r="D14" s="6">
        <f>GETPIVOTDATA("[Measures].[Sum of Balance]",'Pivot Table'!$B$19,"[performance].[Month]","[performance].[Month].&amp;"&amp;"["&amp;TEXT($B14,"yyyy-mm-dd""T00:00:00""")&amp;"]")</f>
        <v>114924888.81</v>
      </c>
      <c r="E14" s="11">
        <f t="shared" si="0"/>
        <v>7452.975928015564</v>
      </c>
      <c r="F14" s="10">
        <f>GETPIVOTDATA("[Measures].[Count of Card ID]",'Pivot Table'!$B$2,"[performance].[Month]","[performance].[Month].&amp;"&amp;"["&amp;TEXT($B14,"yyyy-mm-dd""T00:00:00""")&amp;"]","[performance].[Cycle]","[performance].[Cycle].&amp;[0]")</f>
        <v>14521</v>
      </c>
      <c r="G14" s="6">
        <f>GETPIVOTDATA("[Measures].[Sum of Balance]",'Pivot Table'!$B$19,"[performance].[Month]","[performance].[Month].&amp;"&amp;"["&amp;TEXT($B14,"yyyy-mm-dd""T00:00:00""")&amp;"]","[performance].[Cycle]","[performance].[Cycle].&amp;[0]")</f>
        <v>104432059.05</v>
      </c>
      <c r="H14" s="6">
        <f t="shared" si="1"/>
        <v>7191.7952654775836</v>
      </c>
      <c r="I14" s="7">
        <f t="shared" si="2"/>
        <v>0.94169909208819713</v>
      </c>
      <c r="J14" s="19">
        <f t="shared" si="3"/>
        <v>0.90869836926840697</v>
      </c>
      <c r="K14" s="10">
        <f>GETPIVOTDATA("[Measures].[Count of Card ID]",'Pivot Table'!$B$2,"[performance].[Month]","[performance].[Month].&amp;"&amp;"["&amp;TEXT($B14,"yyyy-mm-dd""T00:00:00""")&amp;"]","[performance].[Cycle]","[performance].[Cycle].&amp;[1]")</f>
        <v>422</v>
      </c>
      <c r="L14" s="6">
        <f>GETPIVOTDATA("[Measures].[Sum of Balance]",'Pivot Table'!$B$19,"[performance].[Month]","[performance].[Month].&amp;"&amp;"["&amp;TEXT($B14,"yyyy-mm-dd""T00:00:00""")&amp;"]","[performance].[Cycle]","[performance].[Cycle].&amp;[1]")</f>
        <v>4388676.0999999996</v>
      </c>
      <c r="M14" s="6">
        <f t="shared" si="4"/>
        <v>10399.706398104265</v>
      </c>
      <c r="N14" s="7">
        <f t="shared" si="5"/>
        <v>2.7367055771725032E-2</v>
      </c>
      <c r="O14" s="7">
        <f t="shared" si="6"/>
        <v>3.8187342580383914E-2</v>
      </c>
      <c r="P14" s="7">
        <f t="shared" si="16"/>
        <v>2.9163787145818937E-2</v>
      </c>
      <c r="Q14" s="15">
        <f t="shared" si="17"/>
        <v>3.9507753077326679E-2</v>
      </c>
      <c r="R14" s="10">
        <f>GETPIVOTDATA("[Measures].[Count of Card ID]",'Pivot Table'!$B$2,"[performance].[Month]","[performance].[Month].&amp;"&amp;"["&amp;TEXT($B14,"yyyy-mm-dd""T00:00:00""")&amp;"]","[performance].[Cycle]","[performance].[Cycle].&amp;[2]")</f>
        <v>184</v>
      </c>
      <c r="S14" s="6">
        <f>GETPIVOTDATA("[Measures].[Sum of Balance]",'Pivot Table'!$B$19,"[performance].[Month]","[performance].[Month].&amp;"&amp;"["&amp;TEXT($B14,"yyyy-mm-dd""T00:00:00""")&amp;"]","[performance].[Cycle]","[performance].[Cycle].&amp;[2]")</f>
        <v>2344188.9700000002</v>
      </c>
      <c r="T14" s="6">
        <f t="shared" si="7"/>
        <v>12740.157445652176</v>
      </c>
      <c r="U14" s="7">
        <f t="shared" si="8"/>
        <v>1.1932555123216601E-2</v>
      </c>
      <c r="V14" s="7">
        <f t="shared" si="9"/>
        <v>2.0397574400750906E-2</v>
      </c>
      <c r="W14" s="7">
        <f t="shared" si="18"/>
        <v>1.7442274469440359E-2</v>
      </c>
      <c r="X14" s="15">
        <f t="shared" si="19"/>
        <v>0.3296992922120911</v>
      </c>
      <c r="Y14" s="10">
        <f>GETPIVOTDATA("[Measures].[Count of Card ID]",'Pivot Table'!$B$2,"[performance].[Month]","[performance].[Month].&amp;"&amp;"["&amp;TEXT($B14,"yyyy-mm-dd""T00:00:00""")&amp;"]","[performance].[Cycle]","[performance].[Cycle].&amp;[3]")</f>
        <v>111</v>
      </c>
      <c r="Z14" s="6">
        <f>GETPIVOTDATA("[Measures].[Sum of Balance]",'Pivot Table'!$B$19,"[performance].[Month]","[performance].[Month].&amp;"&amp;"["&amp;TEXT($B14,"yyyy-mm-dd""T00:00:00""")&amp;"]","[performance].[Cycle]","[performance].[Cycle].&amp;[3]")</f>
        <v>1493597.7</v>
      </c>
      <c r="AA14" s="6">
        <f t="shared" si="10"/>
        <v>13455.835135135134</v>
      </c>
      <c r="AB14" s="7">
        <f t="shared" si="11"/>
        <v>7.1984435797665365E-3</v>
      </c>
      <c r="AC14" s="7">
        <f t="shared" si="12"/>
        <v>1.2996294496915249E-2</v>
      </c>
      <c r="AD14" s="7">
        <f t="shared" si="20"/>
        <v>9.0617753561547717E-3</v>
      </c>
      <c r="AE14" s="15">
        <f t="shared" si="21"/>
        <v>0.5593291524038948</v>
      </c>
      <c r="AF14" s="10">
        <f>GETPIVOTDATA("[Measures].[Count of Card ID]",'Pivot Table'!$B$2,"[performance].[Month]","[performance].[Month].&amp;"&amp;"["&amp;TEXT($B14,"yyyy-mm-dd""T00:00:00""")&amp;"]","[performance].[Cycle]","[performance].[Cycle].&amp;[4]")</f>
        <v>69</v>
      </c>
      <c r="AG14" s="6">
        <f>GETPIVOTDATA("[Measures].[Sum of Balance]",'Pivot Table'!$B$19,"[performance].[Month]","[performance].[Month].&amp;"&amp;"["&amp;TEXT($B14,"yyyy-mm-dd""T00:00:00""")&amp;"]","[performance].[Cycle]","[performance].[Cycle].&amp;[4]")</f>
        <v>829151.83</v>
      </c>
      <c r="AH14" s="6">
        <f t="shared" si="13"/>
        <v>12016.693188405796</v>
      </c>
      <c r="AI14" s="7">
        <f t="shared" si="14"/>
        <v>4.4747081712062254E-3</v>
      </c>
      <c r="AJ14" s="7">
        <f t="shared" si="15"/>
        <v>7.2147281462312165E-3</v>
      </c>
      <c r="AK14" s="7">
        <f t="shared" si="22"/>
        <v>5.5271588782189254E-3</v>
      </c>
      <c r="AL14" s="15">
        <f t="shared" si="23"/>
        <v>0.51090901879330752</v>
      </c>
    </row>
    <row r="15" spans="2:38" x14ac:dyDescent="0.3">
      <c r="B15" s="17">
        <v>43982</v>
      </c>
      <c r="C15" s="10">
        <f>GETPIVOTDATA("[Measures].[Count of Card ID]",'Pivot Table'!$B$2,"[performance].[Month]","[performance].[Month].&amp;"&amp;"["&amp;TEXT($B15,"yyyy-mm-dd""T00:00:00""")&amp;"]")</f>
        <v>15101</v>
      </c>
      <c r="D15" s="6">
        <f>GETPIVOTDATA("[Measures].[Sum of Balance]",'Pivot Table'!$B$19,"[performance].[Month]","[performance].[Month].&amp;"&amp;"["&amp;TEXT($B15,"yyyy-mm-dd""T00:00:00""")&amp;"]")</f>
        <v>110623350.20999999</v>
      </c>
      <c r="E15" s="11">
        <f t="shared" si="0"/>
        <v>7325.564546056552</v>
      </c>
      <c r="F15" s="10">
        <f>GETPIVOTDATA("[Measures].[Count of Card ID]",'Pivot Table'!$B$2,"[performance].[Month]","[performance].[Month].&amp;"&amp;"["&amp;TEXT($B15,"yyyy-mm-dd""T00:00:00""")&amp;"]","[performance].[Cycle]","[performance].[Cycle].&amp;[0]")</f>
        <v>14244</v>
      </c>
      <c r="G15" s="6">
        <f>GETPIVOTDATA("[Measures].[Sum of Balance]",'Pivot Table'!$B$19,"[performance].[Month]","[performance].[Month].&amp;"&amp;"["&amp;TEXT($B15,"yyyy-mm-dd""T00:00:00""")&amp;"]","[performance].[Cycle]","[performance].[Cycle].&amp;[0]")</f>
        <v>100835149.09999999</v>
      </c>
      <c r="H15" s="6">
        <f t="shared" si="1"/>
        <v>7079.1315009828695</v>
      </c>
      <c r="I15" s="7">
        <f t="shared" si="2"/>
        <v>0.94324879147076357</v>
      </c>
      <c r="J15" s="19">
        <f t="shared" si="3"/>
        <v>0.91151776644425675</v>
      </c>
      <c r="K15" s="10">
        <f>GETPIVOTDATA("[Measures].[Count of Card ID]",'Pivot Table'!$B$2,"[performance].[Month]","[performance].[Month].&amp;"&amp;"["&amp;TEXT($B15,"yyyy-mm-dd""T00:00:00""")&amp;"]","[performance].[Cycle]","[performance].[Cycle].&amp;[1]")</f>
        <v>498</v>
      </c>
      <c r="L15" s="6">
        <f>GETPIVOTDATA("[Measures].[Sum of Balance]",'Pivot Table'!$B$19,"[performance].[Month]","[performance].[Month].&amp;"&amp;"["&amp;TEXT($B15,"yyyy-mm-dd""T00:00:00""")&amp;"]","[performance].[Cycle]","[performance].[Cycle].&amp;[1]")</f>
        <v>5040604.4000000004</v>
      </c>
      <c r="M15" s="6">
        <f t="shared" si="4"/>
        <v>10121.695582329317</v>
      </c>
      <c r="N15" s="7">
        <f t="shared" si="5"/>
        <v>3.2977948480233096E-2</v>
      </c>
      <c r="O15" s="7">
        <f t="shared" si="6"/>
        <v>4.5565465070721983E-2</v>
      </c>
      <c r="P15" s="7">
        <f t="shared" si="16"/>
        <v>3.4295158735624269E-2</v>
      </c>
      <c r="Q15" s="15">
        <f t="shared" si="17"/>
        <v>4.8266829610116746E-2</v>
      </c>
      <c r="R15" s="10">
        <f>GETPIVOTDATA("[Measures].[Count of Card ID]",'Pivot Table'!$B$2,"[performance].[Month]","[performance].[Month].&amp;"&amp;"["&amp;TEXT($B15,"yyyy-mm-dd""T00:00:00""")&amp;"]","[performance].[Cycle]","[performance].[Cycle].&amp;[2]")</f>
        <v>137</v>
      </c>
      <c r="S15" s="6">
        <f>GETPIVOTDATA("[Measures].[Sum of Balance]",'Pivot Table'!$B$19,"[performance].[Month]","[performance].[Month].&amp;"&amp;"["&amp;TEXT($B15,"yyyy-mm-dd""T00:00:00""")&amp;"]","[performance].[Cycle]","[performance].[Cycle].&amp;[2]")</f>
        <v>1848539.72</v>
      </c>
      <c r="T15" s="6">
        <f t="shared" si="7"/>
        <v>13492.990656934306</v>
      </c>
      <c r="U15" s="7">
        <f t="shared" si="8"/>
        <v>9.0722468710681403E-3</v>
      </c>
      <c r="V15" s="7">
        <f t="shared" si="9"/>
        <v>1.6710212775972299E-2</v>
      </c>
      <c r="W15" s="7">
        <f t="shared" si="18"/>
        <v>1.3173448822071878E-2</v>
      </c>
      <c r="X15" s="15">
        <f t="shared" si="19"/>
        <v>0.42120668690952157</v>
      </c>
      <c r="Y15" s="10">
        <f>GETPIVOTDATA("[Measures].[Count of Card ID]",'Pivot Table'!$B$2,"[performance].[Month]","[performance].[Month].&amp;"&amp;"["&amp;TEXT($B15,"yyyy-mm-dd""T00:00:00""")&amp;"]","[performance].[Cycle]","[performance].[Cycle].&amp;[3]")</f>
        <v>96</v>
      </c>
      <c r="Z15" s="6">
        <f>GETPIVOTDATA("[Measures].[Sum of Balance]",'Pivot Table'!$B$19,"[performance].[Month]","[performance].[Month].&amp;"&amp;"["&amp;TEXT($B15,"yyyy-mm-dd""T00:00:00""")&amp;"]","[performance].[Cycle]","[performance].[Cycle].&amp;[3]")</f>
        <v>1237439.2</v>
      </c>
      <c r="AA15" s="6">
        <f t="shared" si="10"/>
        <v>12889.991666666667</v>
      </c>
      <c r="AB15" s="7">
        <f t="shared" si="11"/>
        <v>6.3571948877557778E-3</v>
      </c>
      <c r="AC15" s="7">
        <f t="shared" si="12"/>
        <v>1.1186057895109196E-2</v>
      </c>
      <c r="AD15" s="7">
        <f t="shared" si="20"/>
        <v>7.535228697880955E-3</v>
      </c>
      <c r="AE15" s="15">
        <f t="shared" si="21"/>
        <v>0.52787519088104906</v>
      </c>
      <c r="AF15" s="10">
        <f>GETPIVOTDATA("[Measures].[Count of Card ID]",'Pivot Table'!$B$2,"[performance].[Month]","[performance].[Month].&amp;"&amp;"["&amp;TEXT($B15,"yyyy-mm-dd""T00:00:00""")&amp;"]","[performance].[Cycle]","[performance].[Cycle].&amp;[4]")</f>
        <v>53</v>
      </c>
      <c r="AG15" s="6">
        <f>GETPIVOTDATA("[Measures].[Sum of Balance]",'Pivot Table'!$B$19,"[performance].[Month]","[performance].[Month].&amp;"&amp;"["&amp;TEXT($B15,"yyyy-mm-dd""T00:00:00""")&amp;"]","[performance].[Cycle]","[performance].[Cycle].&amp;[4]")</f>
        <v>707770.11</v>
      </c>
      <c r="AH15" s="6">
        <f t="shared" si="13"/>
        <v>13354.153018867924</v>
      </c>
      <c r="AI15" s="7">
        <f t="shared" si="14"/>
        <v>3.5097013442818357E-3</v>
      </c>
      <c r="AJ15" s="7">
        <f t="shared" si="15"/>
        <v>6.3980173142145526E-3</v>
      </c>
      <c r="AK15" s="7">
        <f t="shared" si="22"/>
        <v>3.938811635824024E-3</v>
      </c>
      <c r="AL15" s="15">
        <f t="shared" si="23"/>
        <v>0.47386930898460811</v>
      </c>
    </row>
    <row r="16" spans="2:38" x14ac:dyDescent="0.3">
      <c r="B16" s="17">
        <v>44012</v>
      </c>
      <c r="C16" s="10">
        <f>GETPIVOTDATA("[Measures].[Count of Card ID]",'Pivot Table'!$B$2,"[performance].[Month]","[performance].[Month].&amp;"&amp;"["&amp;TEXT($B16,"yyyy-mm-dd""T00:00:00""")&amp;"]")</f>
        <v>14823</v>
      </c>
      <c r="D16" s="6">
        <f>GETPIVOTDATA("[Measures].[Sum of Balance]",'Pivot Table'!$B$19,"[performance].[Month]","[performance].[Month].&amp;"&amp;"["&amp;TEXT($B16,"yyyy-mm-dd""T00:00:00""")&amp;"]")</f>
        <v>109250668.93000001</v>
      </c>
      <c r="E16" s="11">
        <f t="shared" si="0"/>
        <v>7370.3480354853946</v>
      </c>
      <c r="F16" s="10">
        <f>GETPIVOTDATA("[Measures].[Count of Card ID]",'Pivot Table'!$B$2,"[performance].[Month]","[performance].[Month].&amp;"&amp;"["&amp;TEXT($B16,"yyyy-mm-dd""T00:00:00""")&amp;"]","[performance].[Cycle]","[performance].[Cycle].&amp;[0]")</f>
        <v>14026</v>
      </c>
      <c r="G16" s="6">
        <f>GETPIVOTDATA("[Measures].[Sum of Balance]",'Pivot Table'!$B$19,"[performance].[Month]","[performance].[Month].&amp;"&amp;"["&amp;TEXT($B16,"yyyy-mm-dd""T00:00:00""")&amp;"]","[performance].[Cycle]","[performance].[Cycle].&amp;[0]")</f>
        <v>100042720.25</v>
      </c>
      <c r="H16" s="6">
        <f t="shared" si="1"/>
        <v>7132.6622165977469</v>
      </c>
      <c r="I16" s="7">
        <f t="shared" si="2"/>
        <v>0.946232206705795</v>
      </c>
      <c r="J16" s="19">
        <f t="shared" si="3"/>
        <v>0.91571723294527563</v>
      </c>
      <c r="K16" s="10">
        <f>GETPIVOTDATA("[Measures].[Count of Card ID]",'Pivot Table'!$B$2,"[performance].[Month]","[performance].[Month].&amp;"&amp;"["&amp;TEXT($B16,"yyyy-mm-dd""T00:00:00""")&amp;"]","[performance].[Cycle]","[performance].[Cycle].&amp;[1]")</f>
        <v>490</v>
      </c>
      <c r="L16" s="6">
        <f>GETPIVOTDATA("[Measures].[Sum of Balance]",'Pivot Table'!$B$19,"[performance].[Month]","[performance].[Month].&amp;"&amp;"["&amp;TEXT($B16,"yyyy-mm-dd""T00:00:00""")&amp;"]","[performance].[Cycle]","[performance].[Cycle].&amp;[1]")</f>
        <v>5030334.0999999996</v>
      </c>
      <c r="M16" s="6">
        <f t="shared" si="4"/>
        <v>10265.987959183673</v>
      </c>
      <c r="N16" s="7">
        <f t="shared" si="5"/>
        <v>3.3056736153275312E-2</v>
      </c>
      <c r="O16" s="7">
        <f t="shared" si="6"/>
        <v>4.6043966130981558E-2</v>
      </c>
      <c r="P16" s="7">
        <f t="shared" si="16"/>
        <v>3.4400449311991016E-2</v>
      </c>
      <c r="Q16" s="15">
        <f t="shared" si="17"/>
        <v>4.9886712568960739E-2</v>
      </c>
      <c r="R16" s="10">
        <f>GETPIVOTDATA("[Measures].[Count of Card ID]",'Pivot Table'!$B$2,"[performance].[Month]","[performance].[Month].&amp;"&amp;"["&amp;TEXT($B16,"yyyy-mm-dd""T00:00:00""")&amp;"]","[performance].[Cycle]","[performance].[Cycle].&amp;[2]")</f>
        <v>123</v>
      </c>
      <c r="S16" s="6">
        <f>GETPIVOTDATA("[Measures].[Sum of Balance]",'Pivot Table'!$B$19,"[performance].[Month]","[performance].[Month].&amp;"&amp;"["&amp;TEXT($B16,"yyyy-mm-dd""T00:00:00""")&amp;"]","[performance].[Cycle]","[performance].[Cycle].&amp;[2]")</f>
        <v>1703123.32</v>
      </c>
      <c r="T16" s="6">
        <f t="shared" si="7"/>
        <v>13846.53105691057</v>
      </c>
      <c r="U16" s="7">
        <f t="shared" si="8"/>
        <v>8.2979154017405379E-3</v>
      </c>
      <c r="V16" s="7">
        <f t="shared" si="9"/>
        <v>1.5589134022522455E-2</v>
      </c>
      <c r="W16" s="7">
        <f t="shared" si="18"/>
        <v>1.2152114139328212E-2</v>
      </c>
      <c r="X16" s="15">
        <f t="shared" si="19"/>
        <v>0.33788077477375528</v>
      </c>
      <c r="Y16" s="10">
        <f>GETPIVOTDATA("[Measures].[Count of Card ID]",'Pivot Table'!$B$2,"[performance].[Month]","[performance].[Month].&amp;"&amp;"["&amp;TEXT($B16,"yyyy-mm-dd""T00:00:00""")&amp;"]","[performance].[Cycle]","[performance].[Cycle].&amp;[3]")</f>
        <v>90</v>
      </c>
      <c r="Z16" s="6">
        <f>GETPIVOTDATA("[Measures].[Sum of Balance]",'Pivot Table'!$B$19,"[performance].[Month]","[performance].[Month].&amp;"&amp;"["&amp;TEXT($B16,"yyyy-mm-dd""T00:00:00""")&amp;"]","[performance].[Cycle]","[performance].[Cycle].&amp;[3]")</f>
        <v>1254855.67</v>
      </c>
      <c r="AA16" s="6">
        <f t="shared" si="10"/>
        <v>13942.840777777777</v>
      </c>
      <c r="AB16" s="7">
        <f t="shared" si="11"/>
        <v>6.0716454159077107E-3</v>
      </c>
      <c r="AC16" s="7">
        <f t="shared" si="12"/>
        <v>1.1486022761142281E-2</v>
      </c>
      <c r="AD16" s="7">
        <f t="shared" si="20"/>
        <v>6.6701298687809642E-3</v>
      </c>
      <c r="AE16" s="15">
        <f t="shared" si="21"/>
        <v>0.67883619509133397</v>
      </c>
      <c r="AF16" s="10">
        <f>GETPIVOTDATA("[Measures].[Count of Card ID]",'Pivot Table'!$B$2,"[performance].[Month]","[performance].[Month].&amp;"&amp;"["&amp;TEXT($B16,"yyyy-mm-dd""T00:00:00""")&amp;"]","[performance].[Cycle]","[performance].[Cycle].&amp;[4]")</f>
        <v>45</v>
      </c>
      <c r="AG16" s="6">
        <f>GETPIVOTDATA("[Measures].[Sum of Balance]",'Pivot Table'!$B$19,"[performance].[Month]","[performance].[Month].&amp;"&amp;"["&amp;TEXT($B16,"yyyy-mm-dd""T00:00:00""")&amp;"]","[performance].[Cycle]","[performance].[Cycle].&amp;[4]")</f>
        <v>556875.15</v>
      </c>
      <c r="AH16" s="6">
        <f t="shared" si="13"/>
        <v>12375.003333333334</v>
      </c>
      <c r="AI16" s="7">
        <f t="shared" si="14"/>
        <v>3.0358227079538553E-3</v>
      </c>
      <c r="AJ16" s="7">
        <f t="shared" si="15"/>
        <v>5.0972241676323802E-3</v>
      </c>
      <c r="AK16" s="7">
        <f t="shared" si="22"/>
        <v>3.4910806122838197E-3</v>
      </c>
      <c r="AL16" s="15">
        <f t="shared" si="23"/>
        <v>0.45002223139528796</v>
      </c>
    </row>
    <row r="17" spans="2:38" x14ac:dyDescent="0.3">
      <c r="B17" s="17">
        <v>44043</v>
      </c>
      <c r="C17" s="10">
        <f>GETPIVOTDATA("[Measures].[Count of Card ID]",'Pivot Table'!$B$2,"[performance].[Month]","[performance].[Month].&amp;"&amp;"["&amp;TEXT($B17,"yyyy-mm-dd""T00:00:00""")&amp;"]")</f>
        <v>14610</v>
      </c>
      <c r="D17" s="6">
        <f>GETPIVOTDATA("[Measures].[Sum of Balance]",'Pivot Table'!$B$19,"[performance].[Month]","[performance].[Month].&amp;"&amp;"["&amp;TEXT($B17,"yyyy-mm-dd""T00:00:00""")&amp;"]")</f>
        <v>108528555.59</v>
      </c>
      <c r="E17" s="11">
        <f t="shared" si="0"/>
        <v>7428.3747837097881</v>
      </c>
      <c r="F17" s="10">
        <f>GETPIVOTDATA("[Measures].[Count of Card ID]",'Pivot Table'!$B$2,"[performance].[Month]","[performance].[Month].&amp;"&amp;"["&amp;TEXT($B17,"yyyy-mm-dd""T00:00:00""")&amp;"]","[performance].[Cycle]","[performance].[Cycle].&amp;[0]")</f>
        <v>13947</v>
      </c>
      <c r="G17" s="6">
        <f>GETPIVOTDATA("[Measures].[Sum of Balance]",'Pivot Table'!$B$19,"[performance].[Month]","[performance].[Month].&amp;"&amp;"["&amp;TEXT($B17,"yyyy-mm-dd""T00:00:00""")&amp;"]","[performance].[Cycle]","[performance].[Cycle].&amp;[0]")</f>
        <v>100794696.90000001</v>
      </c>
      <c r="H17" s="6">
        <f t="shared" si="1"/>
        <v>7226.9804904280491</v>
      </c>
      <c r="I17" s="7">
        <f t="shared" si="2"/>
        <v>0.95462012320328538</v>
      </c>
      <c r="J17" s="19">
        <f t="shared" si="3"/>
        <v>0.92873895125613737</v>
      </c>
      <c r="K17" s="10">
        <f>GETPIVOTDATA("[Measures].[Count of Card ID]",'Pivot Table'!$B$2,"[performance].[Month]","[performance].[Month].&amp;"&amp;"["&amp;TEXT($B17,"yyyy-mm-dd""T00:00:00""")&amp;"]","[performance].[Cycle]","[performance].[Cycle].&amp;[1]")</f>
        <v>383</v>
      </c>
      <c r="L17" s="6">
        <f>GETPIVOTDATA("[Measures].[Sum of Balance]",'Pivot Table'!$B$19,"[performance].[Month]","[performance].[Month].&amp;"&amp;"["&amp;TEXT($B17,"yyyy-mm-dd""T00:00:00""")&amp;"]","[performance].[Cycle]","[performance].[Cycle].&amp;[1]")</f>
        <v>4013716</v>
      </c>
      <c r="M17" s="6">
        <f t="shared" si="4"/>
        <v>10479.676240208877</v>
      </c>
      <c r="N17" s="7">
        <f t="shared" si="5"/>
        <v>2.6214921286789868E-2</v>
      </c>
      <c r="O17" s="7">
        <f t="shared" si="6"/>
        <v>3.6983040805988854E-2</v>
      </c>
      <c r="P17" s="7">
        <f t="shared" si="16"/>
        <v>2.7306430914016827E-2</v>
      </c>
      <c r="Q17" s="15">
        <f t="shared" si="17"/>
        <v>4.0120020626888145E-2</v>
      </c>
      <c r="R17" s="10">
        <f>GETPIVOTDATA("[Measures].[Count of Card ID]",'Pivot Table'!$B$2,"[performance].[Month]","[performance].[Month].&amp;"&amp;"["&amp;TEXT($B17,"yyyy-mm-dd""T00:00:00""")&amp;"]","[performance].[Cycle]","[performance].[Cycle].&amp;[2]")</f>
        <v>118</v>
      </c>
      <c r="S17" s="6">
        <f>GETPIVOTDATA("[Measures].[Sum of Balance]",'Pivot Table'!$B$19,"[performance].[Month]","[performance].[Month].&amp;"&amp;"["&amp;TEXT($B17,"yyyy-mm-dd""T00:00:00""")&amp;"]","[performance].[Cycle]","[performance].[Cycle].&amp;[2]")</f>
        <v>1582902.53</v>
      </c>
      <c r="T17" s="6">
        <f t="shared" si="7"/>
        <v>13414.428220338983</v>
      </c>
      <c r="U17" s="7">
        <f t="shared" si="8"/>
        <v>8.0766598220396984E-3</v>
      </c>
      <c r="V17" s="7">
        <f t="shared" si="9"/>
        <v>1.4585124821709608E-2</v>
      </c>
      <c r="W17" s="7">
        <f t="shared" si="18"/>
        <v>1.1494266354992207E-2</v>
      </c>
      <c r="X17" s="15">
        <f t="shared" si="19"/>
        <v>0.31467145094795995</v>
      </c>
      <c r="Y17" s="10">
        <f>GETPIVOTDATA("[Measures].[Count of Card ID]",'Pivot Table'!$B$2,"[performance].[Month]","[performance].[Month].&amp;"&amp;"["&amp;TEXT($B17,"yyyy-mm-dd""T00:00:00""")&amp;"]","[performance].[Cycle]","[performance].[Cycle].&amp;[3]")</f>
        <v>65</v>
      </c>
      <c r="Z17" s="6">
        <f>GETPIVOTDATA("[Measures].[Sum of Balance]",'Pivot Table'!$B$19,"[performance].[Month]","[performance].[Month].&amp;"&amp;"["&amp;TEXT($B17,"yyyy-mm-dd""T00:00:00""")&amp;"]","[performance].[Cycle]","[performance].[Cycle].&amp;[3]")</f>
        <v>939039.71</v>
      </c>
      <c r="AA17" s="6">
        <f t="shared" si="10"/>
        <v>14446.764769230769</v>
      </c>
      <c r="AB17" s="7">
        <f t="shared" si="11"/>
        <v>4.4490075290896649E-3</v>
      </c>
      <c r="AC17" s="7">
        <f t="shared" si="12"/>
        <v>8.652466670131604E-3</v>
      </c>
      <c r="AD17" s="7">
        <f t="shared" si="20"/>
        <v>4.694316557182718E-3</v>
      </c>
      <c r="AE17" s="15">
        <f t="shared" si="21"/>
        <v>0.55136330938149558</v>
      </c>
      <c r="AF17" s="10">
        <f>GETPIVOTDATA("[Measures].[Count of Card ID]",'Pivot Table'!$B$2,"[performance].[Month]","[performance].[Month].&amp;"&amp;"["&amp;TEXT($B17,"yyyy-mm-dd""T00:00:00""")&amp;"]","[performance].[Cycle]","[performance].[Cycle].&amp;[4]")</f>
        <v>39</v>
      </c>
      <c r="AG17" s="6">
        <f>GETPIVOTDATA("[Measures].[Sum of Balance]",'Pivot Table'!$B$19,"[performance].[Month]","[performance].[Month].&amp;"&amp;"["&amp;TEXT($B17,"yyyy-mm-dd""T00:00:00""")&amp;"]","[performance].[Cycle]","[performance].[Cycle].&amp;[4]")</f>
        <v>558421.21</v>
      </c>
      <c r="AH17" s="6">
        <f t="shared" si="13"/>
        <v>14318.492564102564</v>
      </c>
      <c r="AI17" s="7">
        <f t="shared" si="14"/>
        <v>2.6694045174537988E-3</v>
      </c>
      <c r="AJ17" s="7">
        <f t="shared" si="15"/>
        <v>5.1453850736722954E-3</v>
      </c>
      <c r="AK17" s="7">
        <f t="shared" si="22"/>
        <v>2.7971344306074656E-3</v>
      </c>
      <c r="AL17" s="15">
        <f t="shared" si="23"/>
        <v>0.44500831717164729</v>
      </c>
    </row>
    <row r="18" spans="2:38" x14ac:dyDescent="0.3">
      <c r="B18" s="17">
        <v>44074</v>
      </c>
      <c r="C18" s="10">
        <f>GETPIVOTDATA("[Measures].[Count of Card ID]",'Pivot Table'!$B$2,"[performance].[Month]","[performance].[Month].&amp;"&amp;"["&amp;TEXT($B18,"yyyy-mm-dd""T00:00:00""")&amp;"]")</f>
        <v>14420</v>
      </c>
      <c r="D18" s="6">
        <f>GETPIVOTDATA("[Measures].[Sum of Balance]",'Pivot Table'!$B$19,"[performance].[Month]","[performance].[Month].&amp;"&amp;"["&amp;TEXT($B18,"yyyy-mm-dd""T00:00:00""")&amp;"]")</f>
        <v>108844036.05</v>
      </c>
      <c r="E18" s="11">
        <f t="shared" si="0"/>
        <v>7548.1301005547848</v>
      </c>
      <c r="F18" s="10">
        <f>GETPIVOTDATA("[Measures].[Count of Card ID]",'Pivot Table'!$B$2,"[performance].[Month]","[performance].[Month].&amp;"&amp;"["&amp;TEXT($B18,"yyyy-mm-dd""T00:00:00""")&amp;"]","[performance].[Cycle]","[performance].[Cycle].&amp;[0]")</f>
        <v>13711</v>
      </c>
      <c r="G18" s="6">
        <f>GETPIVOTDATA("[Measures].[Sum of Balance]",'Pivot Table'!$B$19,"[performance].[Month]","[performance].[Month].&amp;"&amp;"["&amp;TEXT($B18,"yyyy-mm-dd""T00:00:00""")&amp;"]","[performance].[Cycle]","[performance].[Cycle].&amp;[0]")</f>
        <v>100587906.3</v>
      </c>
      <c r="H18" s="6">
        <f t="shared" si="1"/>
        <v>7336.2924877835312</v>
      </c>
      <c r="I18" s="7">
        <f t="shared" si="2"/>
        <v>0.95083217753120663</v>
      </c>
      <c r="J18" s="19">
        <f t="shared" si="3"/>
        <v>0.92414715541963766</v>
      </c>
      <c r="K18" s="10">
        <f>GETPIVOTDATA("[Measures].[Count of Card ID]",'Pivot Table'!$B$2,"[performance].[Month]","[performance].[Month].&amp;"&amp;"["&amp;TEXT($B18,"yyyy-mm-dd""T00:00:00""")&amp;"]","[performance].[Cycle]","[performance].[Cycle].&amp;[1]")</f>
        <v>445</v>
      </c>
      <c r="L18" s="6">
        <f>GETPIVOTDATA("[Measures].[Sum of Balance]",'Pivot Table'!$B$19,"[performance].[Month]","[performance].[Month].&amp;"&amp;"["&amp;TEXT($B18,"yyyy-mm-dd""T00:00:00""")&amp;"]","[performance].[Cycle]","[performance].[Cycle].&amp;[1]")</f>
        <v>4680992.8499999996</v>
      </c>
      <c r="M18" s="6">
        <f t="shared" si="4"/>
        <v>10519.085056179774</v>
      </c>
      <c r="N18" s="7">
        <f t="shared" si="5"/>
        <v>3.085991678224688E-2</v>
      </c>
      <c r="O18" s="7">
        <f t="shared" si="6"/>
        <v>4.3006424787938577E-2</v>
      </c>
      <c r="P18" s="7">
        <f t="shared" si="16"/>
        <v>3.1906503190650318E-2</v>
      </c>
      <c r="Q18" s="15">
        <f t="shared" si="17"/>
        <v>4.6440864390356627E-2</v>
      </c>
      <c r="R18" s="10">
        <f>GETPIVOTDATA("[Measures].[Count of Card ID]",'Pivot Table'!$B$2,"[performance].[Month]","[performance].[Month].&amp;"&amp;"["&amp;TEXT($B18,"yyyy-mm-dd""T00:00:00""")&amp;"]","[performance].[Cycle]","[performance].[Cycle].&amp;[2]")</f>
        <v>117</v>
      </c>
      <c r="S18" s="6">
        <f>GETPIVOTDATA("[Measures].[Sum of Balance]",'Pivot Table'!$B$19,"[performance].[Month]","[performance].[Month].&amp;"&amp;"["&amp;TEXT($B18,"yyyy-mm-dd""T00:00:00""")&amp;"]","[performance].[Cycle]","[performance].[Cycle].&amp;[2]")</f>
        <v>1500384</v>
      </c>
      <c r="T18" s="6">
        <f t="shared" si="7"/>
        <v>12823.794871794871</v>
      </c>
      <c r="U18" s="7">
        <f t="shared" si="8"/>
        <v>8.1137309292649094E-3</v>
      </c>
      <c r="V18" s="7">
        <f t="shared" si="9"/>
        <v>1.3784714849335101E-2</v>
      </c>
      <c r="W18" s="7">
        <f t="shared" si="18"/>
        <v>1.116446704251123E-2</v>
      </c>
      <c r="X18" s="15">
        <f t="shared" si="19"/>
        <v>0.37381419113858577</v>
      </c>
      <c r="Y18" s="10">
        <f>GETPIVOTDATA("[Measures].[Count of Card ID]",'Pivot Table'!$B$2,"[performance].[Month]","[performance].[Month].&amp;"&amp;"["&amp;TEXT($B18,"yyyy-mm-dd""T00:00:00""")&amp;"]","[performance].[Cycle]","[performance].[Cycle].&amp;[3]")</f>
        <v>60</v>
      </c>
      <c r="Z18" s="6">
        <f>GETPIVOTDATA("[Measures].[Sum of Balance]",'Pivot Table'!$B$19,"[performance].[Month]","[performance].[Month].&amp;"&amp;"["&amp;TEXT($B18,"yyyy-mm-dd""T00:00:00""")&amp;"]","[performance].[Cycle]","[performance].[Cycle].&amp;[3]")</f>
        <v>846035.94</v>
      </c>
      <c r="AA18" s="6">
        <f t="shared" si="10"/>
        <v>14100.598999999998</v>
      </c>
      <c r="AB18" s="7">
        <f t="shared" si="11"/>
        <v>4.160887656033287E-3</v>
      </c>
      <c r="AC18" s="7">
        <f t="shared" si="12"/>
        <v>7.7729195893779055E-3</v>
      </c>
      <c r="AD18" s="7">
        <f t="shared" si="20"/>
        <v>4.4727959339353638E-3</v>
      </c>
      <c r="AE18" s="15">
        <f t="shared" si="21"/>
        <v>0.53448391418011054</v>
      </c>
      <c r="AF18" s="10">
        <f>GETPIVOTDATA("[Measures].[Count of Card ID]",'Pivot Table'!$B$2,"[performance].[Month]","[performance].[Month].&amp;"&amp;"["&amp;TEXT($B18,"yyyy-mm-dd""T00:00:00""")&amp;"]","[performance].[Cycle]","[performance].[Cycle].&amp;[4]")</f>
        <v>43</v>
      </c>
      <c r="AG18" s="6">
        <f>GETPIVOTDATA("[Measures].[Sum of Balance]",'Pivot Table'!$B$19,"[performance].[Month]","[performance].[Month].&amp;"&amp;"["&amp;TEXT($B18,"yyyy-mm-dd""T00:00:00""")&amp;"]","[performance].[Cycle]","[performance].[Cycle].&amp;[4]")</f>
        <v>592823.31999999995</v>
      </c>
      <c r="AH18" s="6">
        <f t="shared" si="13"/>
        <v>13786.588837209301</v>
      </c>
      <c r="AI18" s="7">
        <f t="shared" si="14"/>
        <v>2.9819694868238556E-3</v>
      </c>
      <c r="AJ18" s="7">
        <f t="shared" si="15"/>
        <v>5.4465393007630935E-3</v>
      </c>
      <c r="AK18" s="7">
        <f t="shared" si="22"/>
        <v>2.9764449471471233E-3</v>
      </c>
      <c r="AL18" s="15">
        <f t="shared" si="23"/>
        <v>0.63130804127548557</v>
      </c>
    </row>
    <row r="19" spans="2:38" x14ac:dyDescent="0.3">
      <c r="B19" s="17">
        <v>44104</v>
      </c>
      <c r="C19" s="10">
        <f>GETPIVOTDATA("[Measures].[Count of Card ID]",'Pivot Table'!$B$2,"[performance].[Month]","[performance].[Month].&amp;"&amp;"["&amp;TEXT($B19,"yyyy-mm-dd""T00:00:00""")&amp;"]")</f>
        <v>14236</v>
      </c>
      <c r="D19" s="6">
        <f>GETPIVOTDATA("[Measures].[Sum of Balance]",'Pivot Table'!$B$19,"[performance].[Month]","[performance].[Month].&amp;"&amp;"["&amp;TEXT($B19,"yyyy-mm-dd""T00:00:00""")&amp;"]")</f>
        <v>107968619.38</v>
      </c>
      <c r="E19" s="11">
        <f t="shared" si="0"/>
        <v>7584.1963599325654</v>
      </c>
      <c r="F19" s="10">
        <f>GETPIVOTDATA("[Measures].[Count of Card ID]",'Pivot Table'!$B$2,"[performance].[Month]","[performance].[Month].&amp;"&amp;"["&amp;TEXT($B19,"yyyy-mm-dd""T00:00:00""")&amp;"]","[performance].[Cycle]","[performance].[Cycle].&amp;[0]")</f>
        <v>13480</v>
      </c>
      <c r="G19" s="6">
        <f>GETPIVOTDATA("[Measures].[Sum of Balance]",'Pivot Table'!$B$19,"[performance].[Month]","[performance].[Month].&amp;"&amp;"["&amp;TEXT($B19,"yyyy-mm-dd""T00:00:00""")&amp;"]","[performance].[Cycle]","[performance].[Cycle].&amp;[0]")</f>
        <v>99235391.799999997</v>
      </c>
      <c r="H19" s="6">
        <f t="shared" si="1"/>
        <v>7361.6759495548959</v>
      </c>
      <c r="I19" s="7">
        <f t="shared" si="2"/>
        <v>0.94689519527957289</v>
      </c>
      <c r="J19" s="19">
        <f t="shared" si="3"/>
        <v>0.91911327911619356</v>
      </c>
      <c r="K19" s="10">
        <f>GETPIVOTDATA("[Measures].[Count of Card ID]",'Pivot Table'!$B$2,"[performance].[Month]","[performance].[Month].&amp;"&amp;"["&amp;TEXT($B19,"yyyy-mm-dd""T00:00:00""")&amp;"]","[performance].[Cycle]","[performance].[Cycle].&amp;[1]")</f>
        <v>492</v>
      </c>
      <c r="L19" s="6">
        <f>GETPIVOTDATA("[Measures].[Sum of Balance]",'Pivot Table'!$B$19,"[performance].[Month]","[performance].[Month].&amp;"&amp;"["&amp;TEXT($B19,"yyyy-mm-dd""T00:00:00""")&amp;"]","[performance].[Cycle]","[performance].[Cycle].&amp;[1]")</f>
        <v>5212095.55</v>
      </c>
      <c r="M19" s="6">
        <f t="shared" si="4"/>
        <v>10593.690142276422</v>
      </c>
      <c r="N19" s="7">
        <f t="shared" si="5"/>
        <v>3.4560269738690641E-2</v>
      </c>
      <c r="O19" s="7">
        <f t="shared" si="6"/>
        <v>4.8274170587064888E-2</v>
      </c>
      <c r="P19" s="7">
        <f t="shared" si="16"/>
        <v>3.5883597111808038E-2</v>
      </c>
      <c r="Q19" s="15">
        <f t="shared" si="17"/>
        <v>5.1816324066385304E-2</v>
      </c>
      <c r="R19" s="10">
        <f>GETPIVOTDATA("[Measures].[Count of Card ID]",'Pivot Table'!$B$2,"[performance].[Month]","[performance].[Month].&amp;"&amp;"["&amp;TEXT($B19,"yyyy-mm-dd""T00:00:00""")&amp;"]","[performance].[Cycle]","[performance].[Cycle].&amp;[2]")</f>
        <v>121</v>
      </c>
      <c r="S19" s="6">
        <f>GETPIVOTDATA("[Measures].[Sum of Balance]",'Pivot Table'!$B$19,"[performance].[Month]","[performance].[Month].&amp;"&amp;"["&amp;TEXT($B19,"yyyy-mm-dd""T00:00:00""")&amp;"]","[performance].[Cycle]","[performance].[Cycle].&amp;[2]")</f>
        <v>1636458.63</v>
      </c>
      <c r="T19" s="6">
        <f t="shared" si="7"/>
        <v>13524.451487603304</v>
      </c>
      <c r="U19" s="7">
        <f t="shared" si="8"/>
        <v>8.49957853329587E-3</v>
      </c>
      <c r="V19" s="7">
        <f t="shared" si="9"/>
        <v>1.5156798701300574E-2</v>
      </c>
      <c r="W19" s="7">
        <f t="shared" si="18"/>
        <v>1.1502901569268581E-2</v>
      </c>
      <c r="X19" s="15">
        <f t="shared" si="19"/>
        <v>0.34959648143876143</v>
      </c>
      <c r="Y19" s="10">
        <f>GETPIVOTDATA("[Measures].[Count of Card ID]",'Pivot Table'!$B$2,"[performance].[Month]","[performance].[Month].&amp;"&amp;"["&amp;TEXT($B19,"yyyy-mm-dd""T00:00:00""")&amp;"]","[performance].[Cycle]","[performance].[Cycle].&amp;[3]")</f>
        <v>67</v>
      </c>
      <c r="Z19" s="6">
        <f>GETPIVOTDATA("[Measures].[Sum of Balance]",'Pivot Table'!$B$19,"[performance].[Month]","[performance].[Month].&amp;"&amp;"["&amp;TEXT($B19,"yyyy-mm-dd""T00:00:00""")&amp;"]","[performance].[Cycle]","[performance].[Cycle].&amp;[3]")</f>
        <v>883014.33</v>
      </c>
      <c r="AA19" s="6">
        <f t="shared" si="10"/>
        <v>13179.318358208955</v>
      </c>
      <c r="AB19" s="7">
        <f t="shared" si="11"/>
        <v>4.706378196122506E-3</v>
      </c>
      <c r="AC19" s="7">
        <f t="shared" si="12"/>
        <v>8.1784349477712105E-3</v>
      </c>
      <c r="AD19" s="7">
        <f t="shared" si="20"/>
        <v>5.2246624864034806E-3</v>
      </c>
      <c r="AE19" s="15">
        <f t="shared" si="21"/>
        <v>0.58852555745729096</v>
      </c>
      <c r="AF19" s="10">
        <f>GETPIVOTDATA("[Measures].[Count of Card ID]",'Pivot Table'!$B$2,"[performance].[Month]","[performance].[Month].&amp;"&amp;"["&amp;TEXT($B19,"yyyy-mm-dd""T00:00:00""")&amp;"]","[performance].[Cycle]","[performance].[Cycle].&amp;[4]")</f>
        <v>33</v>
      </c>
      <c r="AG19" s="6">
        <f>GETPIVOTDATA("[Measures].[Sum of Balance]",'Pivot Table'!$B$19,"[performance].[Month]","[performance].[Month].&amp;"&amp;"["&amp;TEXT($B19,"yyyy-mm-dd""T00:00:00""")&amp;"]","[performance].[Cycle]","[performance].[Cycle].&amp;[4]")</f>
        <v>394496.4</v>
      </c>
      <c r="AH19" s="6">
        <f t="shared" si="13"/>
        <v>11954.436363636365</v>
      </c>
      <c r="AI19" s="7">
        <f t="shared" si="14"/>
        <v>2.3180668727170554E-3</v>
      </c>
      <c r="AJ19" s="7">
        <f t="shared" si="15"/>
        <v>3.6538060990810089E-3</v>
      </c>
      <c r="AK19" s="7">
        <f t="shared" si="22"/>
        <v>2.340326109550382E-3</v>
      </c>
      <c r="AL19" s="15">
        <f t="shared" si="23"/>
        <v>0.46628799244627839</v>
      </c>
    </row>
    <row r="20" spans="2:38" x14ac:dyDescent="0.3">
      <c r="B20" s="17">
        <v>44135</v>
      </c>
      <c r="C20" s="10">
        <f>GETPIVOTDATA("[Measures].[Count of Card ID]",'Pivot Table'!$B$2,"[performance].[Month]","[performance].[Month].&amp;"&amp;"["&amp;TEXT($B20,"yyyy-mm-dd""T00:00:00""")&amp;"]")</f>
        <v>14175</v>
      </c>
      <c r="D20" s="6">
        <f>GETPIVOTDATA("[Measures].[Sum of Balance]",'Pivot Table'!$B$19,"[performance].[Month]","[performance].[Month].&amp;"&amp;"["&amp;TEXT($B20,"yyyy-mm-dd""T00:00:00""")&amp;"]")</f>
        <v>107911277.55</v>
      </c>
      <c r="E20" s="11">
        <f t="shared" si="0"/>
        <v>7612.7885396825395</v>
      </c>
      <c r="F20" s="10">
        <f>GETPIVOTDATA("[Measures].[Count of Card ID]",'Pivot Table'!$B$2,"[performance].[Month]","[performance].[Month].&amp;"&amp;"["&amp;TEXT($B20,"yyyy-mm-dd""T00:00:00""")&amp;"]","[performance].[Cycle]","[performance].[Cycle].&amp;[0]")</f>
        <v>13410</v>
      </c>
      <c r="G20" s="6">
        <f>GETPIVOTDATA("[Measures].[Sum of Balance]",'Pivot Table'!$B$19,"[performance].[Month]","[performance].[Month].&amp;"&amp;"["&amp;TEXT($B20,"yyyy-mm-dd""T00:00:00""")&amp;"]","[performance].[Cycle]","[performance].[Cycle].&amp;[0]")</f>
        <v>99143416.5</v>
      </c>
      <c r="H20" s="6">
        <f t="shared" si="1"/>
        <v>7393.2450782997767</v>
      </c>
      <c r="I20" s="7">
        <f t="shared" si="2"/>
        <v>0.946031746031746</v>
      </c>
      <c r="J20" s="19">
        <f t="shared" si="3"/>
        <v>0.91874935364436339</v>
      </c>
      <c r="K20" s="10">
        <f>GETPIVOTDATA("[Measures].[Count of Card ID]",'Pivot Table'!$B$2,"[performance].[Month]","[performance].[Month].&amp;"&amp;"["&amp;TEXT($B20,"yyyy-mm-dd""T00:00:00""")&amp;"]","[performance].[Cycle]","[performance].[Cycle].&amp;[1]")</f>
        <v>477</v>
      </c>
      <c r="L20" s="6">
        <f>GETPIVOTDATA("[Measures].[Sum of Balance]",'Pivot Table'!$B$19,"[performance].[Month]","[performance].[Month].&amp;"&amp;"["&amp;TEXT($B20,"yyyy-mm-dd""T00:00:00""")&amp;"]","[performance].[Cycle]","[performance].[Cycle].&amp;[1]")</f>
        <v>4963868.3</v>
      </c>
      <c r="M20" s="6">
        <f t="shared" si="4"/>
        <v>10406.43249475891</v>
      </c>
      <c r="N20" s="7">
        <f t="shared" si="5"/>
        <v>3.3650793650793653E-2</v>
      </c>
      <c r="O20" s="7">
        <f t="shared" si="6"/>
        <v>4.5999532325989037E-2</v>
      </c>
      <c r="P20" s="7">
        <f t="shared" si="16"/>
        <v>3.5385756676557863E-2</v>
      </c>
      <c r="Q20" s="15">
        <f t="shared" si="17"/>
        <v>5.0021148805501063E-2</v>
      </c>
      <c r="R20" s="10">
        <f>GETPIVOTDATA("[Measures].[Count of Card ID]",'Pivot Table'!$B$2,"[performance].[Month]","[performance].[Month].&amp;"&amp;"["&amp;TEXT($B20,"yyyy-mm-dd""T00:00:00""")&amp;"]","[performance].[Cycle]","[performance].[Cycle].&amp;[2]")</f>
        <v>147</v>
      </c>
      <c r="S20" s="6">
        <f>GETPIVOTDATA("[Measures].[Sum of Balance]",'Pivot Table'!$B$19,"[performance].[Month]","[performance].[Month].&amp;"&amp;"["&amp;TEXT($B20,"yyyy-mm-dd""T00:00:00""")&amp;"]","[performance].[Cycle]","[performance].[Cycle].&amp;[2]")</f>
        <v>1945496.81</v>
      </c>
      <c r="T20" s="6">
        <f t="shared" si="7"/>
        <v>13234.672176870748</v>
      </c>
      <c r="U20" s="7">
        <f t="shared" si="8"/>
        <v>1.037037037037037E-2</v>
      </c>
      <c r="V20" s="7">
        <f t="shared" si="9"/>
        <v>1.8028669979359355E-2</v>
      </c>
      <c r="W20" s="7">
        <f t="shared" si="18"/>
        <v>1.3876184599110046E-2</v>
      </c>
      <c r="X20" s="15">
        <f t="shared" si="19"/>
        <v>0.37326576064017092</v>
      </c>
      <c r="Y20" s="10">
        <f>GETPIVOTDATA("[Measures].[Count of Card ID]",'Pivot Table'!$B$2,"[performance].[Month]","[performance].[Month].&amp;"&amp;"["&amp;TEXT($B20,"yyyy-mm-dd""T00:00:00""")&amp;"]","[performance].[Cycle]","[performance].[Cycle].&amp;[3]")</f>
        <v>69</v>
      </c>
      <c r="Z20" s="6">
        <f>GETPIVOTDATA("[Measures].[Sum of Balance]",'Pivot Table'!$B$19,"[performance].[Month]","[performance].[Month].&amp;"&amp;"["&amp;TEXT($B20,"yyyy-mm-dd""T00:00:00""")&amp;"]","[performance].[Cycle]","[performance].[Cycle].&amp;[3]")</f>
        <v>944123.36</v>
      </c>
      <c r="AA20" s="6">
        <f t="shared" si="10"/>
        <v>13682.947246376811</v>
      </c>
      <c r="AB20" s="7">
        <f t="shared" si="11"/>
        <v>4.867724867724868E-3</v>
      </c>
      <c r="AC20" s="7">
        <f t="shared" si="12"/>
        <v>8.7490703607187529E-3</v>
      </c>
      <c r="AD20" s="7">
        <f t="shared" si="20"/>
        <v>5.1018704945813391E-3</v>
      </c>
      <c r="AE20" s="15">
        <f t="shared" si="21"/>
        <v>0.5769307837620069</v>
      </c>
      <c r="AF20" s="10">
        <f>GETPIVOTDATA("[Measures].[Count of Card ID]",'Pivot Table'!$B$2,"[performance].[Month]","[performance].[Month].&amp;"&amp;"["&amp;TEXT($B20,"yyyy-mm-dd""T00:00:00""")&amp;"]","[performance].[Cycle]","[performance].[Cycle].&amp;[4]")</f>
        <v>30</v>
      </c>
      <c r="AG20" s="6">
        <f>GETPIVOTDATA("[Measures].[Sum of Balance]",'Pivot Table'!$B$19,"[performance].[Month]","[performance].[Month].&amp;"&amp;"["&amp;TEXT($B20,"yyyy-mm-dd""T00:00:00""")&amp;"]","[performance].[Cycle]","[performance].[Cycle].&amp;[4]")</f>
        <v>407211.74</v>
      </c>
      <c r="AH20" s="6">
        <f t="shared" si="13"/>
        <v>13573.724666666667</v>
      </c>
      <c r="AI20" s="7">
        <f t="shared" si="14"/>
        <v>2.1164021164021165E-3</v>
      </c>
      <c r="AJ20" s="7">
        <f t="shared" si="15"/>
        <v>3.7735790850156607E-3</v>
      </c>
      <c r="AK20" s="7">
        <f t="shared" si="22"/>
        <v>2.2762937493890955E-3</v>
      </c>
      <c r="AL20" s="15">
        <f t="shared" si="23"/>
        <v>0.46116096439793908</v>
      </c>
    </row>
    <row r="21" spans="2:38" x14ac:dyDescent="0.3">
      <c r="B21" s="17">
        <v>44165</v>
      </c>
      <c r="C21" s="10">
        <f>GETPIVOTDATA("[Measures].[Count of Card ID]",'Pivot Table'!$B$2,"[performance].[Month]","[performance].[Month].&amp;"&amp;"["&amp;TEXT($B21,"yyyy-mm-dd""T00:00:00""")&amp;"]")</f>
        <v>14120</v>
      </c>
      <c r="D21" s="6">
        <f>GETPIVOTDATA("[Measures].[Sum of Balance]",'Pivot Table'!$B$19,"[performance].[Month]","[performance].[Month].&amp;"&amp;"["&amp;TEXT($B21,"yyyy-mm-dd""T00:00:00""")&amp;"]")</f>
        <v>107928886.14</v>
      </c>
      <c r="E21" s="11">
        <f t="shared" si="0"/>
        <v>7643.6888201133143</v>
      </c>
      <c r="F21" s="10">
        <f>GETPIVOTDATA("[Measures].[Count of Card ID]",'Pivot Table'!$B$2,"[performance].[Month]","[performance].[Month].&amp;"&amp;"["&amp;TEXT($B21,"yyyy-mm-dd""T00:00:00""")&amp;"]","[performance].[Cycle]","[performance].[Cycle].&amp;[0]")</f>
        <v>13341</v>
      </c>
      <c r="G21" s="6">
        <f>GETPIVOTDATA("[Measures].[Sum of Balance]",'Pivot Table'!$B$19,"[performance].[Month]","[performance].[Month].&amp;"&amp;"["&amp;TEXT($B21,"yyyy-mm-dd""T00:00:00""")&amp;"]","[performance].[Cycle]","[performance].[Cycle].&amp;[0]")</f>
        <v>98996568.799999997</v>
      </c>
      <c r="H21" s="6">
        <f t="shared" si="1"/>
        <v>7420.4758863653396</v>
      </c>
      <c r="I21" s="7">
        <f t="shared" si="2"/>
        <v>0.94483002832861185</v>
      </c>
      <c r="J21" s="19">
        <f t="shared" si="3"/>
        <v>0.91723886292671042</v>
      </c>
      <c r="K21" s="10">
        <f>GETPIVOTDATA("[Measures].[Count of Card ID]",'Pivot Table'!$B$2,"[performance].[Month]","[performance].[Month].&amp;"&amp;"["&amp;TEXT($B21,"yyyy-mm-dd""T00:00:00""")&amp;"]","[performance].[Cycle]","[performance].[Cycle].&amp;[1]")</f>
        <v>476</v>
      </c>
      <c r="L21" s="6">
        <f>GETPIVOTDATA("[Measures].[Sum of Balance]",'Pivot Table'!$B$19,"[performance].[Month]","[performance].[Month].&amp;"&amp;"["&amp;TEXT($B21,"yyyy-mm-dd""T00:00:00""")&amp;"]","[performance].[Cycle]","[performance].[Cycle].&amp;[1]")</f>
        <v>4846079.8</v>
      </c>
      <c r="M21" s="6">
        <f t="shared" si="4"/>
        <v>10180.839915966386</v>
      </c>
      <c r="N21" s="7">
        <f t="shared" si="5"/>
        <v>3.3711048158640226E-2</v>
      </c>
      <c r="O21" s="7">
        <f t="shared" si="6"/>
        <v>4.4900674632312107E-2</v>
      </c>
      <c r="P21" s="7">
        <f t="shared" si="16"/>
        <v>3.5495898583146904E-2</v>
      </c>
      <c r="Q21" s="15">
        <f t="shared" si="17"/>
        <v>4.8879491660447263E-2</v>
      </c>
      <c r="R21" s="10">
        <f>GETPIVOTDATA("[Measures].[Count of Card ID]",'Pivot Table'!$B$2,"[performance].[Month]","[performance].[Month].&amp;"&amp;"["&amp;TEXT($B21,"yyyy-mm-dd""T00:00:00""")&amp;"]","[performance].[Cycle]","[performance].[Cycle].&amp;[2]")</f>
        <v>142</v>
      </c>
      <c r="S21" s="6">
        <f>GETPIVOTDATA("[Measures].[Sum of Balance]",'Pivot Table'!$B$19,"[performance].[Month]","[performance].[Month].&amp;"&amp;"["&amp;TEXT($B21,"yyyy-mm-dd""T00:00:00""")&amp;"]","[performance].[Cycle]","[performance].[Cycle].&amp;[2]")</f>
        <v>1915017.87</v>
      </c>
      <c r="T21" s="6">
        <f t="shared" si="7"/>
        <v>13486.04133802817</v>
      </c>
      <c r="U21" s="7">
        <f t="shared" si="8"/>
        <v>1.0056657223796034E-2</v>
      </c>
      <c r="V21" s="7">
        <f t="shared" si="9"/>
        <v>1.7743330247251266E-2</v>
      </c>
      <c r="W21" s="7">
        <f t="shared" si="18"/>
        <v>1.3645406345692128E-2</v>
      </c>
      <c r="X21" s="15">
        <f t="shared" si="19"/>
        <v>0.38579143407168964</v>
      </c>
      <c r="Y21" s="10">
        <f>GETPIVOTDATA("[Measures].[Count of Card ID]",'Pivot Table'!$B$2,"[performance].[Month]","[performance].[Month].&amp;"&amp;"["&amp;TEXT($B21,"yyyy-mm-dd""T00:00:00""")&amp;"]","[performance].[Cycle]","[performance].[Cycle].&amp;[3]")</f>
        <v>72</v>
      </c>
      <c r="Z21" s="6">
        <f>GETPIVOTDATA("[Measures].[Sum of Balance]",'Pivot Table'!$B$19,"[performance].[Month]","[performance].[Month].&amp;"&amp;"["&amp;TEXT($B21,"yyyy-mm-dd""T00:00:00""")&amp;"]","[performance].[Cycle]","[performance].[Cycle].&amp;[3]")</f>
        <v>975648.41</v>
      </c>
      <c r="AA21" s="6">
        <f t="shared" si="10"/>
        <v>13550.672361111112</v>
      </c>
      <c r="AB21" s="7">
        <f t="shared" si="11"/>
        <v>5.0991501416430595E-3</v>
      </c>
      <c r="AC21" s="7">
        <f t="shared" si="12"/>
        <v>9.0397338923190341E-3</v>
      </c>
      <c r="AD21" s="7">
        <f t="shared" si="20"/>
        <v>5.440255643492934E-3</v>
      </c>
      <c r="AE21" s="15">
        <f t="shared" si="21"/>
        <v>0.50149062439223424</v>
      </c>
      <c r="AF21" s="10">
        <f>GETPIVOTDATA("[Measures].[Count of Card ID]",'Pivot Table'!$B$2,"[performance].[Month]","[performance].[Month].&amp;"&amp;"["&amp;TEXT($B21,"yyyy-mm-dd""T00:00:00""")&amp;"]","[performance].[Cycle]","[performance].[Cycle].&amp;[4]")</f>
        <v>51</v>
      </c>
      <c r="AG21" s="6">
        <f>GETPIVOTDATA("[Measures].[Sum of Balance]",'Pivot Table'!$B$19,"[performance].[Month]","[performance].[Month].&amp;"&amp;"["&amp;TEXT($B21,"yyyy-mm-dd""T00:00:00""")&amp;"]","[performance].[Cycle]","[performance].[Cycle].&amp;[4]")</f>
        <v>682646.93</v>
      </c>
      <c r="AH21" s="6">
        <f t="shared" si="13"/>
        <v>13385.233921568628</v>
      </c>
      <c r="AI21" s="7">
        <f t="shared" si="14"/>
        <v>3.6118980169971672E-3</v>
      </c>
      <c r="AJ21" s="7">
        <f t="shared" si="15"/>
        <v>6.3249696574696817E-3</v>
      </c>
      <c r="AK21" s="7">
        <f t="shared" si="22"/>
        <v>3.7272671655958181E-3</v>
      </c>
      <c r="AL21" s="15">
        <f t="shared" si="23"/>
        <v>0.7230484478214797</v>
      </c>
    </row>
    <row r="22" spans="2:38" ht="15" thickBot="1" x14ac:dyDescent="0.35">
      <c r="B22" s="18">
        <v>44196</v>
      </c>
      <c r="C22" s="12">
        <f>GETPIVOTDATA("[Measures].[Count of Card ID]",'Pivot Table'!$B$2,"[performance].[Month]","[performance].[Month].&amp;"&amp;"["&amp;TEXT($B22,"yyyy-mm-dd""T00:00:00""")&amp;"]")</f>
        <v>14139</v>
      </c>
      <c r="D22" s="13">
        <f>GETPIVOTDATA("[Measures].[Sum of Balance]",'Pivot Table'!$B$19,"[performance].[Month]","[performance].[Month].&amp;"&amp;"["&amp;TEXT($B22,"yyyy-mm-dd""T00:00:00""")&amp;"]")</f>
        <v>107106260.98</v>
      </c>
      <c r="E22" s="14">
        <f t="shared" si="0"/>
        <v>7575.2359417214802</v>
      </c>
      <c r="F22" s="12">
        <f>GETPIVOTDATA("[Measures].[Count of Card ID]",'Pivot Table'!$B$2,"[performance].[Month]","[performance].[Month].&amp;"&amp;"["&amp;TEXT($B22,"yyyy-mm-dd""T00:00:00""")&amp;"]","[performance].[Cycle]","[performance].[Cycle].&amp;[0]")</f>
        <v>13368</v>
      </c>
      <c r="G22" s="13">
        <f>GETPIVOTDATA("[Measures].[Sum of Balance]",'Pivot Table'!$B$19,"[performance].[Month]","[performance].[Month].&amp;"&amp;"["&amp;TEXT($B22,"yyyy-mm-dd""T00:00:00""")&amp;"]","[performance].[Cycle]","[performance].[Cycle].&amp;[0]")</f>
        <v>98107750</v>
      </c>
      <c r="H22" s="13">
        <f t="shared" si="1"/>
        <v>7338.9998503889883</v>
      </c>
      <c r="I22" s="16">
        <f t="shared" si="2"/>
        <v>0.9454699766603013</v>
      </c>
      <c r="J22" s="20">
        <f t="shared" si="3"/>
        <v>0.91598520107353665</v>
      </c>
      <c r="K22" s="10">
        <f>GETPIVOTDATA("[Measures].[Count of Card ID]",'Pivot Table'!$B$2,"[performance].[Month]","[performance].[Month].&amp;"&amp;"["&amp;TEXT($B22,"yyyy-mm-dd""T00:00:00""")&amp;"]","[performance].[Cycle]","[performance].[Cycle].&amp;[1]")</f>
        <v>482</v>
      </c>
      <c r="L22" s="6">
        <f>GETPIVOTDATA("[Measures].[Sum of Balance]",'Pivot Table'!$B$19,"[performance].[Month]","[performance].[Month].&amp;"&amp;"["&amp;TEXT($B22,"yyyy-mm-dd""T00:00:00""")&amp;"]","[performance].[Cycle]","[performance].[Cycle].&amp;[1]")</f>
        <v>5114843.3</v>
      </c>
      <c r="M22" s="6">
        <f t="shared" si="4"/>
        <v>10611.708091286308</v>
      </c>
      <c r="N22" s="7">
        <f t="shared" si="5"/>
        <v>3.4090105382275977E-2</v>
      </c>
      <c r="O22" s="7">
        <f t="shared" si="6"/>
        <v>4.7754848812760785E-2</v>
      </c>
      <c r="P22" s="7">
        <f t="shared" si="16"/>
        <v>3.6129225695225246E-2</v>
      </c>
      <c r="Q22" s="15">
        <f t="shared" si="17"/>
        <v>5.1666874539191096E-2</v>
      </c>
      <c r="R22" s="10">
        <f>GETPIVOTDATA("[Measures].[Count of Card ID]",'Pivot Table'!$B$2,"[performance].[Month]","[performance].[Month].&amp;"&amp;"["&amp;TEXT($B22,"yyyy-mm-dd""T00:00:00""")&amp;"]","[performance].[Cycle]","[performance].[Cycle].&amp;[2]")</f>
        <v>118</v>
      </c>
      <c r="S22" s="6">
        <f>GETPIVOTDATA("[Measures].[Sum of Balance]",'Pivot Table'!$B$19,"[performance].[Month]","[performance].[Month].&amp;"&amp;"["&amp;TEXT($B22,"yyyy-mm-dd""T00:00:00""")&amp;"]","[performance].[Cycle]","[performance].[Cycle].&amp;[2]")</f>
        <v>1534613.01</v>
      </c>
      <c r="T22" s="6">
        <f t="shared" si="7"/>
        <v>13005.195</v>
      </c>
      <c r="U22" s="7">
        <f t="shared" si="8"/>
        <v>8.345710446283329E-3</v>
      </c>
      <c r="V22" s="7">
        <f t="shared" si="9"/>
        <v>1.4327948674135482E-2</v>
      </c>
      <c r="W22" s="7">
        <f t="shared" si="18"/>
        <v>1.159039931616479E-2</v>
      </c>
      <c r="X22" s="15">
        <f t="shared" si="19"/>
        <v>0.31667101519871793</v>
      </c>
      <c r="Y22" s="10">
        <f>GETPIVOTDATA("[Measures].[Count of Card ID]",'Pivot Table'!$B$2,"[performance].[Month]","[performance].[Month].&amp;"&amp;"["&amp;TEXT($B22,"yyyy-mm-dd""T00:00:00""")&amp;"]","[performance].[Cycle]","[performance].[Cycle].&amp;[3]")</f>
        <v>74</v>
      </c>
      <c r="Z22" s="6">
        <f>GETPIVOTDATA("[Measures].[Sum of Balance]",'Pivot Table'!$B$19,"[performance].[Month]","[performance].[Month].&amp;"&amp;"["&amp;TEXT($B22,"yyyy-mm-dd""T00:00:00""")&amp;"]","[performance].[Cycle]","[performance].[Cycle].&amp;[3]")</f>
        <v>1040871.75</v>
      </c>
      <c r="AA22" s="6">
        <f t="shared" si="10"/>
        <v>14065.83445945946</v>
      </c>
      <c r="AB22" s="7">
        <f t="shared" si="11"/>
        <v>5.2337506188556478E-3</v>
      </c>
      <c r="AC22" s="7">
        <f t="shared" si="12"/>
        <v>9.7181223625606942E-3</v>
      </c>
      <c r="AD22" s="7">
        <f t="shared" si="20"/>
        <v>5.4871550624224722E-3</v>
      </c>
      <c r="AE22" s="15">
        <f t="shared" si="21"/>
        <v>0.54353108986915089</v>
      </c>
      <c r="AF22" s="10">
        <f>GETPIVOTDATA("[Measures].[Count of Card ID]",'Pivot Table'!$B$2,"[performance].[Month]","[performance].[Month].&amp;"&amp;"["&amp;TEXT($B22,"yyyy-mm-dd""T00:00:00""")&amp;"]","[performance].[Cycle]","[performance].[Cycle].&amp;[4]")</f>
        <v>47</v>
      </c>
      <c r="AG22" s="6">
        <f>GETPIVOTDATA("[Measures].[Sum of Balance]",'Pivot Table'!$B$19,"[performance].[Month]","[performance].[Month].&amp;"&amp;"["&amp;TEXT($B22,"yyyy-mm-dd""T00:00:00""")&amp;"]","[performance].[Cycle]","[performance].[Cycle].&amp;[4]")</f>
        <v>626966.52</v>
      </c>
      <c r="AH22" s="6">
        <f t="shared" si="13"/>
        <v>13339.713191489362</v>
      </c>
      <c r="AI22" s="7">
        <f t="shared" si="14"/>
        <v>3.3241389065704788E-3</v>
      </c>
      <c r="AJ22" s="7">
        <f t="shared" si="15"/>
        <v>5.8536869298151835E-3</v>
      </c>
      <c r="AK22" s="7">
        <f t="shared" si="22"/>
        <v>3.4684625786455181E-3</v>
      </c>
      <c r="AL22" s="15">
        <f t="shared" si="23"/>
        <v>0.64261522242423375</v>
      </c>
    </row>
    <row r="23" spans="2:38" ht="15" thickBot="1" x14ac:dyDescent="0.35">
      <c r="F23" s="90" t="s">
        <v>19</v>
      </c>
      <c r="G23" s="91"/>
      <c r="H23" s="91"/>
      <c r="I23" s="36">
        <f>AVERAGE((I11:I22))</f>
        <v>0.9388021414042439</v>
      </c>
      <c r="J23" s="37">
        <f>AVERAGE((J11:J22))</f>
        <v>0.90965654197331614</v>
      </c>
      <c r="K23" s="62" t="s">
        <v>19</v>
      </c>
      <c r="L23" s="63"/>
      <c r="M23" s="63"/>
      <c r="N23" s="38">
        <f>AVERAGE((N11:N22))</f>
        <v>3.6723938859278736E-2</v>
      </c>
      <c r="O23" s="38">
        <f>AVERAGE((O11:O22))</f>
        <v>4.9571093774217444E-2</v>
      </c>
      <c r="P23" s="38">
        <f t="shared" ref="P23:Q23" si="24">AVERAGE((P11:P22))</f>
        <v>3.7368857147185221E-2</v>
      </c>
      <c r="Q23" s="39">
        <f t="shared" si="24"/>
        <v>5.2445891821054809E-2</v>
      </c>
      <c r="R23" s="62" t="s">
        <v>19</v>
      </c>
      <c r="S23" s="63"/>
      <c r="T23" s="63"/>
      <c r="U23" s="38">
        <f>AVERAGE((U11:U22))</f>
        <v>1.0456480057732991E-2</v>
      </c>
      <c r="V23" s="38">
        <f>AVERAGE((V11:V22))</f>
        <v>1.7563347391437053E-2</v>
      </c>
      <c r="W23" s="38">
        <f t="shared" ref="W23" si="25">AVERAGE((W11:W22))</f>
        <v>1.4720127740872928E-2</v>
      </c>
      <c r="X23" s="39">
        <f t="shared" ref="X23" si="26">AVERAGE((X11:X22))</f>
        <v>0.3484886604442074</v>
      </c>
      <c r="Y23" s="62" t="s">
        <v>19</v>
      </c>
      <c r="Z23" s="63"/>
      <c r="AA23" s="63"/>
      <c r="AB23" s="38">
        <f>AVERAGE((AB11:AB22))</f>
        <v>6.1061181258551507E-3</v>
      </c>
      <c r="AC23" s="38">
        <f>AVERAGE((AC11:AC22))</f>
        <v>1.0405321291616415E-2</v>
      </c>
      <c r="AD23" s="38">
        <f t="shared" ref="AD23" si="27">AVERAGE((AD11:AD22))</f>
        <v>7.0845859091380322E-3</v>
      </c>
      <c r="AE23" s="39">
        <f t="shared" ref="AE23" si="28">AVERAGE((AE11:AE22))</f>
        <v>0.57836952251868712</v>
      </c>
      <c r="AF23" s="62" t="s">
        <v>19</v>
      </c>
      <c r="AG23" s="63"/>
      <c r="AH23" s="63"/>
      <c r="AI23" s="38">
        <f>AVERAGE((AI11:AI22))</f>
        <v>3.5904047545213167E-3</v>
      </c>
      <c r="AJ23" s="38">
        <f>AVERAGE((AJ11:AJ22))</f>
        <v>5.8626760164602471E-3</v>
      </c>
      <c r="AK23" s="38">
        <f t="shared" ref="AK23" si="29">AVERAGE((AK11:AK22))</f>
        <v>4.0146625990962756E-3</v>
      </c>
      <c r="AL23" s="39">
        <f t="shared" ref="AL23" si="30">AVERAGE((AL11:AL22))</f>
        <v>0.5386137025525306</v>
      </c>
    </row>
    <row r="24" spans="2:38" ht="15" thickBot="1" x14ac:dyDescent="0.35"/>
    <row r="25" spans="2:38" x14ac:dyDescent="0.3">
      <c r="C25" s="74" t="s">
        <v>27</v>
      </c>
      <c r="D25" s="75"/>
      <c r="E25" s="75"/>
      <c r="F25" s="75"/>
      <c r="G25" s="75"/>
      <c r="H25" s="75"/>
      <c r="I25" s="76"/>
      <c r="J25" s="77" t="s">
        <v>8</v>
      </c>
      <c r="K25" s="78"/>
      <c r="L25" s="78"/>
      <c r="M25" s="78"/>
      <c r="N25" s="79"/>
      <c r="O25" s="77" t="s">
        <v>9</v>
      </c>
      <c r="P25" s="78"/>
      <c r="Q25" s="78"/>
      <c r="R25" s="78"/>
      <c r="S25" s="79"/>
      <c r="T25" s="77" t="s">
        <v>10</v>
      </c>
      <c r="U25" s="78"/>
      <c r="V25" s="78"/>
      <c r="W25" s="78"/>
      <c r="X25" s="79"/>
    </row>
    <row r="26" spans="2:38" x14ac:dyDescent="0.3">
      <c r="B26" s="8" t="s">
        <v>13</v>
      </c>
      <c r="C26" s="34" t="s">
        <v>14</v>
      </c>
      <c r="D26" s="35" t="s">
        <v>15</v>
      </c>
      <c r="E26" s="35" t="s">
        <v>16</v>
      </c>
      <c r="F26" s="35" t="s">
        <v>28</v>
      </c>
      <c r="G26" s="35" t="s">
        <v>18</v>
      </c>
      <c r="H26" s="83" t="s">
        <v>22</v>
      </c>
      <c r="I26" s="85" t="s">
        <v>23</v>
      </c>
      <c r="J26" s="34" t="s">
        <v>14</v>
      </c>
      <c r="K26" s="35" t="s">
        <v>15</v>
      </c>
      <c r="L26" s="35" t="s">
        <v>16</v>
      </c>
      <c r="M26" s="35" t="s">
        <v>28</v>
      </c>
      <c r="N26" s="35" t="s">
        <v>18</v>
      </c>
      <c r="O26" s="34" t="s">
        <v>14</v>
      </c>
      <c r="P26" s="35" t="s">
        <v>15</v>
      </c>
      <c r="Q26" s="35" t="s">
        <v>16</v>
      </c>
      <c r="R26" s="35" t="s">
        <v>28</v>
      </c>
      <c r="S26" s="35" t="s">
        <v>18</v>
      </c>
      <c r="T26" s="34" t="s">
        <v>14</v>
      </c>
      <c r="U26" s="35" t="s">
        <v>15</v>
      </c>
      <c r="V26" s="35" t="s">
        <v>16</v>
      </c>
      <c r="W26" s="35" t="s">
        <v>28</v>
      </c>
      <c r="X26" s="35" t="s">
        <v>18</v>
      </c>
    </row>
    <row r="27" spans="2:38" x14ac:dyDescent="0.3">
      <c r="B27" s="9">
        <v>43861</v>
      </c>
      <c r="C27" s="10">
        <f>GETPIVOTDATA("[Measures].[Count of Card ID]",'Pivot Table'!$B$2,"[performance].[Month]","[performance].[Month].&amp;"&amp;"["&amp;TEXT($B11,"yyyy-mm-dd""T00:00:00""")&amp;"]","[performance].[Cycle]","[performance].[Cycle].&amp;[A]")</f>
        <v>58</v>
      </c>
      <c r="D27" s="6">
        <f>GETPIVOTDATA("[Measures].[Sum of Balance]",'Pivot Table'!$B$19,"[performance].[Month]","[performance].[Month].&amp;"&amp;"["&amp;TEXT($B11,"yyyy-mm-dd""T00:00:00""")&amp;"]","[performance].[Cycle]","[performance].[Cycle].&amp;[A]")</f>
        <v>616346.36</v>
      </c>
      <c r="E27" s="6">
        <f>IFERROR(D27/C27,0)</f>
        <v>10626.661379310344</v>
      </c>
      <c r="F27" s="7">
        <f t="shared" ref="F27:F38" si="31">IFERROR(C27/$C11,0)</f>
        <v>3.5736290819470117E-3</v>
      </c>
      <c r="G27" s="7">
        <f t="shared" ref="G27:G38" si="32">IFERROR(D27/$D11,0)</f>
        <v>4.879003969506821E-3</v>
      </c>
      <c r="H27" s="84"/>
      <c r="I27" s="86"/>
      <c r="J27" s="10">
        <f>GETPIVOTDATA("[Measures].[Count of Card ID]",'Pivot Table'!$B$2,"[performance].[Month]","[performance].[Month].&amp;"&amp;"["&amp;TEXT($B11,"yyyy-mm-dd""T00:00:00""")&amp;"]","[performance].[Cycle]","[performance].[Cycle].&amp;[D]")</f>
        <v>9</v>
      </c>
      <c r="K27" s="6">
        <f>GETPIVOTDATA("[Measures].[Sum of Balance]",'Pivot Table'!$B$19,"[performance].[Month]","[performance].[Month].&amp;"&amp;"["&amp;TEXT($B11,"yyyy-mm-dd""T00:00:00""")&amp;"]","[performance].[Cycle]","[performance].[Cycle].&amp;[D]")</f>
        <v>77295.3</v>
      </c>
      <c r="L27" s="6">
        <f>IFERROR(K27/J27,0)</f>
        <v>8588.3666666666668</v>
      </c>
      <c r="M27" s="7">
        <f t="shared" ref="M27:M38" si="33">IFERROR(J27/$C11,0)</f>
        <v>5.5452865064695004E-4</v>
      </c>
      <c r="N27" s="7">
        <f t="shared" ref="N27:N38" si="34">IFERROR(K27/$D11,0)</f>
        <v>6.1187037029669579E-4</v>
      </c>
      <c r="O27" s="10">
        <f>GETPIVOTDATA("[Measures].[Count of Card ID]",'Pivot Table'!$B$2,"[performance].[Month]","[performance].[Month].&amp;"&amp;"["&amp;TEXT($B11,"yyyy-mm-dd""T00:00:00""")&amp;"]","[performance].[Cycle]","[performance].[Cycle].&amp;[F]")</f>
        <v>14</v>
      </c>
      <c r="P27" s="6">
        <f>GETPIVOTDATA("[Measures].[Sum of Balance]",'Pivot Table'!$B$19,"[performance].[Month]","[performance].[Month].&amp;"&amp;"["&amp;TEXT($B11,"yyyy-mm-dd""T00:00:00""")&amp;"]","[performance].[Cycle]","[performance].[Cycle].&amp;[F]")</f>
        <v>20107.400000000001</v>
      </c>
      <c r="Q27" s="6">
        <f>IFERROR(P27/O27,0)</f>
        <v>1436.2428571428572</v>
      </c>
      <c r="R27" s="7">
        <f t="shared" ref="R27:R38" si="35">IFERROR(O27/$C11,0)</f>
        <v>8.6260012322858905E-4</v>
      </c>
      <c r="S27" s="7">
        <f t="shared" ref="S27:S38" si="36">IFERROR(P27/$D11,0)</f>
        <v>1.5917038013571049E-4</v>
      </c>
      <c r="T27" s="10">
        <f>GETPIVOTDATA("[Measures].[Count of Card ID]",'Pivot Table'!$B$2,"[performance].[Month]","[performance].[Month].&amp;"&amp;"["&amp;TEXT($B11,"yyyy-mm-dd""T00:00:00""")&amp;"]","[performance].[Cycle]","[performance].[Cycle].&amp;[B]")</f>
        <v>16</v>
      </c>
      <c r="U27" s="6">
        <f>GETPIVOTDATA("[Measures].[Sum of Balance]",'Pivot Table'!$B$19,"[performance].[Month]","[performance].[Month].&amp;"&amp;"["&amp;TEXT($B11,"yyyy-mm-dd""T00:00:00""")&amp;"]","[performance].[Cycle]","[performance].[Cycle].&amp;[B]")</f>
        <v>217117.16</v>
      </c>
      <c r="V27" s="6">
        <f>IFERROR(U27/T27,0)</f>
        <v>13569.8225</v>
      </c>
      <c r="W27" s="7">
        <f t="shared" ref="W27:W38" si="37">IFERROR(T27/$C11,0)</f>
        <v>9.8582871226124457E-4</v>
      </c>
      <c r="X27" s="7">
        <f t="shared" ref="X27:X38" si="38">IFERROR(U27/$D11,0)</f>
        <v>1.7187016168766658E-3</v>
      </c>
    </row>
    <row r="28" spans="2:38" x14ac:dyDescent="0.3">
      <c r="B28" s="9">
        <v>43890</v>
      </c>
      <c r="C28" s="10">
        <f>GETPIVOTDATA("[Measures].[Count of Card ID]",'Pivot Table'!$B$2,"[performance].[Month]","[performance].[Month].&amp;"&amp;"["&amp;TEXT($B12,"yyyy-mm-dd""T00:00:00""")&amp;"]","[performance].[Cycle]","[performance].[Cycle].&amp;[A]")</f>
        <v>59</v>
      </c>
      <c r="D28" s="6">
        <f>GETPIVOTDATA("[Measures].[Sum of Balance]",'Pivot Table'!$B$19,"[performance].[Month]","[performance].[Month].&amp;"&amp;"["&amp;TEXT($B12,"yyyy-mm-dd""T00:00:00""")&amp;"]","[performance].[Cycle]","[performance].[Cycle].&amp;[A]")</f>
        <v>685102.47</v>
      </c>
      <c r="E28" s="6">
        <f t="shared" ref="E28:E38" si="39">IFERROR(D28/C28,0)</f>
        <v>11611.906271186441</v>
      </c>
      <c r="F28" s="7">
        <f t="shared" si="31"/>
        <v>3.6863480162449233E-3</v>
      </c>
      <c r="G28" s="7">
        <f t="shared" si="32"/>
        <v>5.301007320729325E-3</v>
      </c>
      <c r="H28" s="7">
        <f>IFERROR(C28/AF11,0)</f>
        <v>0.68604651162790697</v>
      </c>
      <c r="I28" s="15">
        <f>IFERROR(D28/AG11,0)</f>
        <v>0.71131179147200141</v>
      </c>
      <c r="J28" s="10">
        <f>GETPIVOTDATA("[Measures].[Count of Card ID]",'Pivot Table'!$B$2,"[performance].[Month]","[performance].[Month].&amp;"&amp;"["&amp;TEXT($B12,"yyyy-mm-dd""T00:00:00""")&amp;"]","[performance].[Cycle]","[performance].[Cycle].&amp;[D]")</f>
        <v>7</v>
      </c>
      <c r="K28" s="6">
        <f>GETPIVOTDATA("[Measures].[Sum of Balance]",'Pivot Table'!$B$19,"[performance].[Month]","[performance].[Month].&amp;"&amp;"["&amp;TEXT($B12,"yyyy-mm-dd""T00:00:00""")&amp;"]","[performance].[Cycle]","[performance].[Cycle].&amp;[D]")</f>
        <v>69972.55</v>
      </c>
      <c r="L28" s="6">
        <f t="shared" ref="L28:L38" si="40">IFERROR(K28/J28,0)</f>
        <v>9996.0785714285721</v>
      </c>
      <c r="M28" s="7">
        <f t="shared" si="33"/>
        <v>4.3736332396126208E-4</v>
      </c>
      <c r="N28" s="7">
        <f t="shared" si="34"/>
        <v>5.4141535907774319E-4</v>
      </c>
      <c r="O28" s="10">
        <f>GETPIVOTDATA("[Measures].[Count of Card ID]",'Pivot Table'!$B$2,"[performance].[Month]","[performance].[Month].&amp;"&amp;"["&amp;TEXT($B12,"yyyy-mm-dd""T00:00:00""")&amp;"]","[performance].[Cycle]","[performance].[Cycle].&amp;[F]")</f>
        <v>0</v>
      </c>
      <c r="P28" s="6">
        <f>GETPIVOTDATA("[Measures].[Sum of Balance]",'Pivot Table'!$B$19,"[performance].[Month]","[performance].[Month].&amp;"&amp;"["&amp;TEXT($B12,"yyyy-mm-dd""T00:00:00""")&amp;"]","[performance].[Cycle]","[performance].[Cycle].&amp;[F]")</f>
        <v>0</v>
      </c>
      <c r="Q28" s="6">
        <f t="shared" ref="Q28:Q38" si="41">IFERROR(P28/O28,0)</f>
        <v>0</v>
      </c>
      <c r="R28" s="7">
        <f t="shared" si="35"/>
        <v>0</v>
      </c>
      <c r="S28" s="7">
        <f t="shared" si="36"/>
        <v>0</v>
      </c>
      <c r="T28" s="10">
        <f>GETPIVOTDATA("[Measures].[Count of Card ID]",'Pivot Table'!$B$2,"[performance].[Month]","[performance].[Month].&amp;"&amp;"["&amp;TEXT($B12,"yyyy-mm-dd""T00:00:00""")&amp;"]","[performance].[Cycle]","[performance].[Cycle].&amp;[B]")</f>
        <v>25</v>
      </c>
      <c r="U28" s="6">
        <f>GETPIVOTDATA("[Measures].[Sum of Balance]",'Pivot Table'!$B$19,"[performance].[Month]","[performance].[Month].&amp;"&amp;"["&amp;TEXT($B12,"yyyy-mm-dd""T00:00:00""")&amp;"]","[performance].[Cycle]","[performance].[Cycle].&amp;[B]")</f>
        <v>325988.68</v>
      </c>
      <c r="V28" s="6">
        <f t="shared" ref="V28:V38" si="42">IFERROR(U28/T28,0)</f>
        <v>13039.547199999999</v>
      </c>
      <c r="W28" s="7">
        <f t="shared" si="37"/>
        <v>1.5620118712902219E-3</v>
      </c>
      <c r="X28" s="7">
        <f t="shared" si="38"/>
        <v>2.5223502393078357E-3</v>
      </c>
    </row>
    <row r="29" spans="2:38" x14ac:dyDescent="0.3">
      <c r="B29" s="9">
        <v>43921</v>
      </c>
      <c r="C29" s="10">
        <f>GETPIVOTDATA("[Measures].[Count of Card ID]",'Pivot Table'!$B$2,"[performance].[Month]","[performance].[Month].&amp;"&amp;"["&amp;TEXT($B13,"yyyy-mm-dd""T00:00:00""")&amp;"]","[performance].[Cycle]","[performance].[Cycle].&amp;[A]")</f>
        <v>49</v>
      </c>
      <c r="D29" s="6">
        <f>GETPIVOTDATA("[Measures].[Sum of Balance]",'Pivot Table'!$B$19,"[performance].[Month]","[performance].[Month].&amp;"&amp;"["&amp;TEXT($B13,"yyyy-mm-dd""T00:00:00""")&amp;"]","[performance].[Cycle]","[performance].[Cycle].&amp;[A]")</f>
        <v>493127.47</v>
      </c>
      <c r="E29" s="6">
        <f t="shared" si="39"/>
        <v>10063.825918367347</v>
      </c>
      <c r="F29" s="7">
        <f t="shared" si="31"/>
        <v>3.1271938221966943E-3</v>
      </c>
      <c r="G29" s="7">
        <f t="shared" si="32"/>
        <v>3.9609486621264671E-3</v>
      </c>
      <c r="H29" s="7">
        <f t="shared" ref="H29:H38" si="43">IFERROR(C29/AF12,0)</f>
        <v>0.77777777777777779</v>
      </c>
      <c r="I29" s="15">
        <f t="shared" ref="I29:I38" si="44">IFERROR(D29/AG12,0)</f>
        <v>0.78426179073746649</v>
      </c>
      <c r="J29" s="10">
        <f>GETPIVOTDATA("[Measures].[Count of Card ID]",'Pivot Table'!$B$2,"[performance].[Month]","[performance].[Month].&amp;"&amp;"["&amp;TEXT($B13,"yyyy-mm-dd""T00:00:00""")&amp;"]","[performance].[Cycle]","[performance].[Cycle].&amp;[D]")</f>
        <v>1</v>
      </c>
      <c r="K29" s="6">
        <f>GETPIVOTDATA("[Measures].[Sum of Balance]",'Pivot Table'!$B$19,"[performance].[Month]","[performance].[Month].&amp;"&amp;"["&amp;TEXT($B13,"yyyy-mm-dd""T00:00:00""")&amp;"]","[performance].[Cycle]","[performance].[Cycle].&amp;[D]")</f>
        <v>5341.53</v>
      </c>
      <c r="L29" s="6">
        <f t="shared" si="40"/>
        <v>5341.53</v>
      </c>
      <c r="M29" s="7">
        <f t="shared" si="33"/>
        <v>6.3820282085646815E-5</v>
      </c>
      <c r="N29" s="7">
        <f t="shared" si="34"/>
        <v>4.2904781003598092E-5</v>
      </c>
      <c r="O29" s="10">
        <f>GETPIVOTDATA("[Measures].[Count of Card ID]",'Pivot Table'!$B$2,"[performance].[Month]","[performance].[Month].&amp;"&amp;"["&amp;TEXT($B13,"yyyy-mm-dd""T00:00:00""")&amp;"]","[performance].[Cycle]","[performance].[Cycle].&amp;[F]")</f>
        <v>12</v>
      </c>
      <c r="P29" s="6">
        <f>GETPIVOTDATA("[Measures].[Sum of Balance]",'Pivot Table'!$B$19,"[performance].[Month]","[performance].[Month].&amp;"&amp;"["&amp;TEXT($B13,"yyyy-mm-dd""T00:00:00""")&amp;"]","[performance].[Cycle]","[performance].[Cycle].&amp;[F]")</f>
        <v>46494.28</v>
      </c>
      <c r="Q29" s="6">
        <f t="shared" si="41"/>
        <v>3874.5233333333331</v>
      </c>
      <c r="R29" s="7">
        <f t="shared" si="35"/>
        <v>7.6584338502776184E-4</v>
      </c>
      <c r="S29" s="7">
        <f t="shared" si="36"/>
        <v>3.7345608867121792E-4</v>
      </c>
      <c r="T29" s="10">
        <f>GETPIVOTDATA("[Measures].[Count of Card ID]",'Pivot Table'!$B$2,"[performance].[Month]","[performance].[Month].&amp;"&amp;"["&amp;TEXT($B13,"yyyy-mm-dd""T00:00:00""")&amp;"]","[performance].[Cycle]","[performance].[Cycle].&amp;[B]")</f>
        <v>24</v>
      </c>
      <c r="U29" s="6">
        <f>GETPIVOTDATA("[Measures].[Sum of Balance]",'Pivot Table'!$B$19,"[performance].[Month]","[performance].[Month].&amp;"&amp;"["&amp;TEXT($B13,"yyyy-mm-dd""T00:00:00""")&amp;"]","[performance].[Cycle]","[performance].[Cycle].&amp;[B]")</f>
        <v>350287</v>
      </c>
      <c r="V29" s="6">
        <f t="shared" si="42"/>
        <v>14595.291666666666</v>
      </c>
      <c r="W29" s="7">
        <f t="shared" si="37"/>
        <v>1.5316867700555237E-3</v>
      </c>
      <c r="X29" s="7">
        <f t="shared" si="38"/>
        <v>2.8136108986390354E-3</v>
      </c>
    </row>
    <row r="30" spans="2:38" x14ac:dyDescent="0.3">
      <c r="B30" s="9">
        <v>43951</v>
      </c>
      <c r="C30" s="10">
        <f>GETPIVOTDATA("[Measures].[Count of Card ID]",'Pivot Table'!$B$2,"[performance].[Month]","[performance].[Month].&amp;"&amp;"["&amp;TEXT($B14,"yyyy-mm-dd""T00:00:00""")&amp;"]","[performance].[Cycle]","[performance].[Cycle].&amp;[A]")</f>
        <v>77</v>
      </c>
      <c r="D30" s="6">
        <f>GETPIVOTDATA("[Measures].[Sum of Balance]",'Pivot Table'!$B$19,"[performance].[Month]","[performance].[Month].&amp;"&amp;"["&amp;TEXT($B14,"yyyy-mm-dd""T00:00:00""")&amp;"]","[performance].[Cycle]","[performance].[Cycle].&amp;[A]")</f>
        <v>1016487.91</v>
      </c>
      <c r="E30" s="6">
        <f t="shared" si="39"/>
        <v>13201.141688311689</v>
      </c>
      <c r="F30" s="7">
        <f t="shared" si="31"/>
        <v>4.9935149156939036E-3</v>
      </c>
      <c r="G30" s="7">
        <f t="shared" si="32"/>
        <v>8.8448022053822691E-3</v>
      </c>
      <c r="H30" s="7">
        <f t="shared" si="43"/>
        <v>0.84615384615384615</v>
      </c>
      <c r="I30" s="15">
        <f t="shared" si="44"/>
        <v>0.91178850352611596</v>
      </c>
      <c r="J30" s="10">
        <f>GETPIVOTDATA("[Measures].[Count of Card ID]",'Pivot Table'!$B$2,"[performance].[Month]","[performance].[Month].&amp;"&amp;"["&amp;TEXT($B14,"yyyy-mm-dd""T00:00:00""")&amp;"]","[performance].[Cycle]","[performance].[Cycle].&amp;[D]")</f>
        <v>4</v>
      </c>
      <c r="K30" s="6">
        <f>GETPIVOTDATA("[Measures].[Sum of Balance]",'Pivot Table'!$B$19,"[performance].[Month]","[performance].[Month].&amp;"&amp;"["&amp;TEXT($B14,"yyyy-mm-dd""T00:00:00""")&amp;"]","[performance].[Cycle]","[performance].[Cycle].&amp;[D]")</f>
        <v>56784.56</v>
      </c>
      <c r="L30" s="6">
        <f t="shared" si="40"/>
        <v>14196.14</v>
      </c>
      <c r="M30" s="7">
        <f t="shared" si="33"/>
        <v>2.5940337224383917E-4</v>
      </c>
      <c r="N30" s="7">
        <f t="shared" si="34"/>
        <v>4.9410150044938727E-4</v>
      </c>
      <c r="O30" s="10">
        <f>GETPIVOTDATA("[Measures].[Count of Card ID]",'Pivot Table'!$B$2,"[performance].[Month]","[performance].[Month].&amp;"&amp;"["&amp;TEXT($B14,"yyyy-mm-dd""T00:00:00""")&amp;"]","[performance].[Cycle]","[performance].[Cycle].&amp;[F]")</f>
        <v>15</v>
      </c>
      <c r="P30" s="6">
        <f>GETPIVOTDATA("[Measures].[Sum of Balance]",'Pivot Table'!$B$19,"[performance].[Month]","[performance].[Month].&amp;"&amp;"["&amp;TEXT($B14,"yyyy-mm-dd""T00:00:00""")&amp;"]","[performance].[Cycle]","[performance].[Cycle].&amp;[F]")</f>
        <v>85933.99</v>
      </c>
      <c r="Q30" s="6">
        <f t="shared" si="41"/>
        <v>5728.9326666666666</v>
      </c>
      <c r="R30" s="7">
        <f t="shared" si="35"/>
        <v>9.727626459143969E-4</v>
      </c>
      <c r="S30" s="7">
        <f t="shared" si="36"/>
        <v>7.4774046675016314E-4</v>
      </c>
      <c r="T30" s="10">
        <f>GETPIVOTDATA("[Measures].[Count of Card ID]",'Pivot Table'!$B$2,"[performance].[Month]","[performance].[Month].&amp;"&amp;"["&amp;TEXT($B14,"yyyy-mm-dd""T00:00:00""")&amp;"]","[performance].[Cycle]","[performance].[Cycle].&amp;[B]")</f>
        <v>17</v>
      </c>
      <c r="U30" s="6">
        <f>GETPIVOTDATA("[Measures].[Sum of Balance]",'Pivot Table'!$B$19,"[performance].[Month]","[performance].[Month].&amp;"&amp;"["&amp;TEXT($B14,"yyyy-mm-dd""T00:00:00""")&amp;"]","[performance].[Cycle]","[performance].[Cycle].&amp;[B]")</f>
        <v>278008.7</v>
      </c>
      <c r="V30" s="6">
        <f t="shared" si="42"/>
        <v>16353.452941176471</v>
      </c>
      <c r="W30" s="7">
        <f t="shared" si="37"/>
        <v>1.1024643320363165E-3</v>
      </c>
      <c r="X30" s="7">
        <f t="shared" si="38"/>
        <v>2.4190469347298558E-3</v>
      </c>
    </row>
    <row r="31" spans="2:38" x14ac:dyDescent="0.3">
      <c r="B31" s="9">
        <v>43982</v>
      </c>
      <c r="C31" s="10">
        <f>GETPIVOTDATA("[Measures].[Count of Card ID]",'Pivot Table'!$B$2,"[performance].[Month]","[performance].[Month].&amp;"&amp;"["&amp;TEXT($B15,"yyyy-mm-dd""T00:00:00""")&amp;"]","[performance].[Cycle]","[performance].[Cycle].&amp;[A]")</f>
        <v>52</v>
      </c>
      <c r="D31" s="6">
        <f>GETPIVOTDATA("[Measures].[Sum of Balance]",'Pivot Table'!$B$19,"[performance].[Month]","[performance].[Month].&amp;"&amp;"["&amp;TEXT($B15,"yyyy-mm-dd""T00:00:00""")&amp;"]","[performance].[Cycle]","[performance].[Cycle].&amp;[A]")</f>
        <v>632476.22</v>
      </c>
      <c r="E31" s="6">
        <f t="shared" si="39"/>
        <v>12163.004230769231</v>
      </c>
      <c r="F31" s="7">
        <f t="shared" si="31"/>
        <v>3.4434805642010462E-3</v>
      </c>
      <c r="G31" s="7">
        <f t="shared" si="32"/>
        <v>5.7173844292308026E-3</v>
      </c>
      <c r="H31" s="7">
        <f t="shared" si="43"/>
        <v>0.75362318840579712</v>
      </c>
      <c r="I31" s="15">
        <f t="shared" si="44"/>
        <v>0.76279904007448185</v>
      </c>
      <c r="J31" s="10">
        <f>GETPIVOTDATA("[Measures].[Count of Card ID]",'Pivot Table'!$B$2,"[performance].[Month]","[performance].[Month].&amp;"&amp;"["&amp;TEXT($B15,"yyyy-mm-dd""T00:00:00""")&amp;"]","[performance].[Cycle]","[performance].[Cycle].&amp;[D]")</f>
        <v>1</v>
      </c>
      <c r="K31" s="6">
        <f>GETPIVOTDATA("[Measures].[Sum of Balance]",'Pivot Table'!$B$19,"[performance].[Month]","[performance].[Month].&amp;"&amp;"["&amp;TEXT($B15,"yyyy-mm-dd""T00:00:00""")&amp;"]","[performance].[Cycle]","[performance].[Cycle].&amp;[D]")</f>
        <v>18736.82</v>
      </c>
      <c r="L31" s="6">
        <f t="shared" si="40"/>
        <v>18736.82</v>
      </c>
      <c r="M31" s="7">
        <f t="shared" si="33"/>
        <v>6.6220780080789352E-5</v>
      </c>
      <c r="N31" s="7">
        <f t="shared" si="34"/>
        <v>1.6937491012911172E-4</v>
      </c>
      <c r="O31" s="10">
        <f>GETPIVOTDATA("[Measures].[Count of Card ID]",'Pivot Table'!$B$2,"[performance].[Month]","[performance].[Month].&amp;"&amp;"["&amp;TEXT($B15,"yyyy-mm-dd""T00:00:00""")&amp;"]","[performance].[Cycle]","[performance].[Cycle].&amp;[F]")</f>
        <v>3</v>
      </c>
      <c r="P31" s="6">
        <f>GETPIVOTDATA("[Measures].[Sum of Balance]",'Pivot Table'!$B$19,"[performance].[Month]","[performance].[Month].&amp;"&amp;"["&amp;TEXT($B15,"yyyy-mm-dd""T00:00:00""")&amp;"]","[performance].[Cycle]","[performance].[Cycle].&amp;[F]")</f>
        <v>18257.88</v>
      </c>
      <c r="Q31" s="6">
        <f t="shared" si="41"/>
        <v>6085.96</v>
      </c>
      <c r="R31" s="7">
        <f t="shared" si="35"/>
        <v>1.9866234024236806E-4</v>
      </c>
      <c r="S31" s="7">
        <f t="shared" si="36"/>
        <v>1.6504544443230528E-4</v>
      </c>
      <c r="T31" s="10">
        <f>GETPIVOTDATA("[Measures].[Count of Card ID]",'Pivot Table'!$B$2,"[performance].[Month]","[performance].[Month].&amp;"&amp;"["&amp;TEXT($B15,"yyyy-mm-dd""T00:00:00""")&amp;"]","[performance].[Cycle]","[performance].[Cycle].&amp;[B]")</f>
        <v>17</v>
      </c>
      <c r="U31" s="6">
        <f>GETPIVOTDATA("[Measures].[Sum of Balance]",'Pivot Table'!$B$19,"[performance].[Month]","[performance].[Month].&amp;"&amp;"["&amp;TEXT($B15,"yyyy-mm-dd""T00:00:00""")&amp;"]","[performance].[Cycle]","[performance].[Cycle].&amp;[B]")</f>
        <v>284376.76</v>
      </c>
      <c r="V31" s="6">
        <f t="shared" si="42"/>
        <v>16728.044705882352</v>
      </c>
      <c r="W31" s="7">
        <f t="shared" si="37"/>
        <v>1.125753261373419E-3</v>
      </c>
      <c r="X31" s="7">
        <f t="shared" si="38"/>
        <v>2.5706757159330118E-3</v>
      </c>
    </row>
    <row r="32" spans="2:38" x14ac:dyDescent="0.3">
      <c r="B32" s="9">
        <v>44012</v>
      </c>
      <c r="C32" s="10">
        <f>GETPIVOTDATA("[Measures].[Count of Card ID]",'Pivot Table'!$B$2,"[performance].[Month]","[performance].[Month].&amp;"&amp;"["&amp;TEXT($B16,"yyyy-mm-dd""T00:00:00""")&amp;"]","[performance].[Cycle]","[performance].[Cycle].&amp;[A]")</f>
        <v>37</v>
      </c>
      <c r="D32" s="6">
        <f>GETPIVOTDATA("[Measures].[Sum of Balance]",'Pivot Table'!$B$19,"[performance].[Month]","[performance].[Month].&amp;"&amp;"["&amp;TEXT($B16,"yyyy-mm-dd""T00:00:00""")&amp;"]","[performance].[Cycle]","[performance].[Cycle].&amp;[A]")</f>
        <v>489316.81</v>
      </c>
      <c r="E32" s="6">
        <f t="shared" si="39"/>
        <v>13224.778648648649</v>
      </c>
      <c r="F32" s="7">
        <f t="shared" si="31"/>
        <v>2.4961208932065032E-3</v>
      </c>
      <c r="G32" s="7">
        <f t="shared" si="32"/>
        <v>4.4788449790959094E-3</v>
      </c>
      <c r="H32" s="7">
        <f t="shared" si="43"/>
        <v>0.69811320754716977</v>
      </c>
      <c r="I32" s="15">
        <f t="shared" si="44"/>
        <v>0.69134992151618269</v>
      </c>
      <c r="J32" s="10">
        <f>GETPIVOTDATA("[Measures].[Count of Card ID]",'Pivot Table'!$B$2,"[performance].[Month]","[performance].[Month].&amp;"&amp;"["&amp;TEXT($B16,"yyyy-mm-dd""T00:00:00""")&amp;"]","[performance].[Cycle]","[performance].[Cycle].&amp;[D]")</f>
        <v>2</v>
      </c>
      <c r="K32" s="6">
        <f>GETPIVOTDATA("[Measures].[Sum of Balance]",'Pivot Table'!$B$19,"[performance].[Month]","[performance].[Month].&amp;"&amp;"["&amp;TEXT($B16,"yyyy-mm-dd""T00:00:00""")&amp;"]","[performance].[Cycle]","[performance].[Cycle].&amp;[D]")</f>
        <v>29016.3</v>
      </c>
      <c r="L32" s="6">
        <f t="shared" si="40"/>
        <v>14508.15</v>
      </c>
      <c r="M32" s="7">
        <f t="shared" si="33"/>
        <v>1.3492545368683803E-4</v>
      </c>
      <c r="N32" s="7">
        <f t="shared" si="34"/>
        <v>2.6559379712898202E-4</v>
      </c>
      <c r="O32" s="10">
        <f>GETPIVOTDATA("[Measures].[Count of Card ID]",'Pivot Table'!$B$2,"[performance].[Month]","[performance].[Month].&amp;"&amp;"["&amp;TEXT($B16,"yyyy-mm-dd""T00:00:00""")&amp;"]","[performance].[Cycle]","[performance].[Cycle].&amp;[F]")</f>
        <v>1</v>
      </c>
      <c r="P32" s="6">
        <f>GETPIVOTDATA("[Measures].[Sum of Balance]",'Pivot Table'!$B$19,"[performance].[Month]","[performance].[Month].&amp;"&amp;"["&amp;TEXT($B16,"yyyy-mm-dd""T00:00:00""")&amp;"]","[performance].[Cycle]","[performance].[Cycle].&amp;[F]")</f>
        <v>12049.78</v>
      </c>
      <c r="Q32" s="6">
        <f t="shared" si="41"/>
        <v>12049.78</v>
      </c>
      <c r="R32" s="7">
        <f t="shared" si="35"/>
        <v>6.7462726843419015E-5</v>
      </c>
      <c r="S32" s="7">
        <f t="shared" si="36"/>
        <v>1.1029479378035328E-4</v>
      </c>
      <c r="T32" s="10">
        <f>GETPIVOTDATA("[Measures].[Count of Card ID]",'Pivot Table'!$B$2,"[performance].[Month]","[performance].[Month].&amp;"&amp;"["&amp;TEXT($B16,"yyyy-mm-dd""T00:00:00""")&amp;"]","[performance].[Cycle]","[performance].[Cycle].&amp;[B]")</f>
        <v>9</v>
      </c>
      <c r="U32" s="6">
        <f>GETPIVOTDATA("[Measures].[Sum of Balance]",'Pivot Table'!$B$19,"[performance].[Month]","[performance].[Month].&amp;"&amp;"["&amp;TEXT($B16,"yyyy-mm-dd""T00:00:00""")&amp;"]","[performance].[Cycle]","[performance].[Cycle].&amp;[B]")</f>
        <v>132377.54999999999</v>
      </c>
      <c r="V32" s="6">
        <f t="shared" si="42"/>
        <v>14708.616666666665</v>
      </c>
      <c r="W32" s="7">
        <f t="shared" si="37"/>
        <v>6.0716454159077113E-4</v>
      </c>
      <c r="X32" s="7">
        <f t="shared" si="38"/>
        <v>1.21168640244041E-3</v>
      </c>
    </row>
    <row r="33" spans="2:24" x14ac:dyDescent="0.3">
      <c r="B33" s="9">
        <v>44043</v>
      </c>
      <c r="C33" s="10">
        <f>GETPIVOTDATA("[Measures].[Count of Card ID]",'Pivot Table'!$B$2,"[performance].[Month]","[performance].[Month].&amp;"&amp;"["&amp;TEXT($B17,"yyyy-mm-dd""T00:00:00""")&amp;"]","[performance].[Cycle]","[performance].[Cycle].&amp;[A]")</f>
        <v>38</v>
      </c>
      <c r="D33" s="6">
        <f>GETPIVOTDATA("[Measures].[Sum of Balance]",'Pivot Table'!$B$19,"[performance].[Month]","[performance].[Month].&amp;"&amp;"["&amp;TEXT($B17,"yyyy-mm-dd""T00:00:00""")&amp;"]","[performance].[Cycle]","[performance].[Cycle].&amp;[A]")</f>
        <v>469339.73</v>
      </c>
      <c r="E33" s="6">
        <f t="shared" si="39"/>
        <v>12351.045526315789</v>
      </c>
      <c r="F33" s="7">
        <f t="shared" si="31"/>
        <v>2.6009582477754963E-3</v>
      </c>
      <c r="G33" s="7">
        <f t="shared" si="32"/>
        <v>4.3245736336257447E-3</v>
      </c>
      <c r="H33" s="7">
        <f t="shared" si="43"/>
        <v>0.84444444444444444</v>
      </c>
      <c r="I33" s="15">
        <f t="shared" si="44"/>
        <v>0.84280961360908269</v>
      </c>
      <c r="J33" s="10">
        <f>GETPIVOTDATA("[Measures].[Count of Card ID]",'Pivot Table'!$B$2,"[performance].[Month]","[performance].[Month].&amp;"&amp;"["&amp;TEXT($B17,"yyyy-mm-dd""T00:00:00""")&amp;"]","[performance].[Cycle]","[performance].[Cycle].&amp;[D]")</f>
        <v>2</v>
      </c>
      <c r="K33" s="6">
        <f>GETPIVOTDATA("[Measures].[Sum of Balance]",'Pivot Table'!$B$19,"[performance].[Month]","[performance].[Month].&amp;"&amp;"["&amp;TEXT($B17,"yyyy-mm-dd""T00:00:00""")&amp;"]","[performance].[Cycle]","[performance].[Cycle].&amp;[D]")</f>
        <v>16178.09</v>
      </c>
      <c r="L33" s="6">
        <f t="shared" si="40"/>
        <v>8089.0450000000001</v>
      </c>
      <c r="M33" s="7">
        <f t="shared" si="33"/>
        <v>1.3689253935660506E-4</v>
      </c>
      <c r="N33" s="7">
        <f t="shared" si="34"/>
        <v>1.4906758789933323E-4</v>
      </c>
      <c r="O33" s="10">
        <f>GETPIVOTDATA("[Measures].[Count of Card ID]",'Pivot Table'!$B$2,"[performance].[Month]","[performance].[Month].&amp;"&amp;"["&amp;TEXT($B17,"yyyy-mm-dd""T00:00:00""")&amp;"]","[performance].[Cycle]","[performance].[Cycle].&amp;[F]")</f>
        <v>12</v>
      </c>
      <c r="P33" s="6">
        <f>GETPIVOTDATA("[Measures].[Sum of Balance]",'Pivot Table'!$B$19,"[performance].[Month]","[performance].[Month].&amp;"&amp;"["&amp;TEXT($B17,"yyyy-mm-dd""T00:00:00""")&amp;"]","[performance].[Cycle]","[performance].[Cycle].&amp;[F]")</f>
        <v>48998.1</v>
      </c>
      <c r="Q33" s="6">
        <f t="shared" si="41"/>
        <v>4083.1749999999997</v>
      </c>
      <c r="R33" s="7">
        <f t="shared" si="35"/>
        <v>8.2135523613963038E-4</v>
      </c>
      <c r="S33" s="7">
        <f t="shared" si="36"/>
        <v>4.5147656977123505E-4</v>
      </c>
      <c r="T33" s="10">
        <f>GETPIVOTDATA("[Measures].[Count of Card ID]",'Pivot Table'!$B$2,"[performance].[Month]","[performance].[Month].&amp;"&amp;"["&amp;TEXT($B17,"yyyy-mm-dd""T00:00:00""")&amp;"]","[performance].[Cycle]","[performance].[Cycle].&amp;[B]")</f>
        <v>6</v>
      </c>
      <c r="U33" s="6">
        <f>GETPIVOTDATA("[Measures].[Sum of Balance]",'Pivot Table'!$B$19,"[performance].[Month]","[performance].[Month].&amp;"&amp;"["&amp;TEXT($B17,"yyyy-mm-dd""T00:00:00""")&amp;"]","[performance].[Cycle]","[performance].[Cycle].&amp;[B]")</f>
        <v>105263.32</v>
      </c>
      <c r="V33" s="6">
        <f t="shared" si="42"/>
        <v>17543.886666666669</v>
      </c>
      <c r="W33" s="7">
        <f t="shared" si="37"/>
        <v>4.1067761806981519E-4</v>
      </c>
      <c r="X33" s="7">
        <f t="shared" si="38"/>
        <v>9.6991358106399736E-4</v>
      </c>
    </row>
    <row r="34" spans="2:24" x14ac:dyDescent="0.3">
      <c r="B34" s="9">
        <v>44074</v>
      </c>
      <c r="C34" s="10">
        <f>GETPIVOTDATA("[Measures].[Count of Card ID]",'Pivot Table'!$B$2,"[performance].[Month]","[performance].[Month].&amp;"&amp;"["&amp;TEXT($B18,"yyyy-mm-dd""T00:00:00""")&amp;"]","[performance].[Cycle]","[performance].[Cycle].&amp;[A]")</f>
        <v>30</v>
      </c>
      <c r="D34" s="6">
        <f>GETPIVOTDATA("[Measures].[Sum of Balance]",'Pivot Table'!$B$19,"[performance].[Month]","[performance].[Month].&amp;"&amp;"["&amp;TEXT($B18,"yyyy-mm-dd""T00:00:00""")&amp;"]","[performance].[Cycle]","[performance].[Cycle].&amp;[A]")</f>
        <v>434283.14</v>
      </c>
      <c r="E34" s="6">
        <f t="shared" si="39"/>
        <v>14476.104666666668</v>
      </c>
      <c r="F34" s="7">
        <f t="shared" si="31"/>
        <v>2.0804438280166435E-3</v>
      </c>
      <c r="G34" s="7">
        <f t="shared" si="32"/>
        <v>3.9899580699166845E-3</v>
      </c>
      <c r="H34" s="7">
        <f t="shared" si="43"/>
        <v>0.76923076923076927</v>
      </c>
      <c r="I34" s="15">
        <f t="shared" si="44"/>
        <v>0.77769814652992864</v>
      </c>
      <c r="J34" s="10">
        <f>GETPIVOTDATA("[Measures].[Count of Card ID]",'Pivot Table'!$B$2,"[performance].[Month]","[performance].[Month].&amp;"&amp;"["&amp;TEXT($B18,"yyyy-mm-dd""T00:00:00""")&amp;"]","[performance].[Cycle]","[performance].[Cycle].&amp;[D]")</f>
        <v>5</v>
      </c>
      <c r="K34" s="6">
        <f>GETPIVOTDATA("[Measures].[Sum of Balance]",'Pivot Table'!$B$19,"[performance].[Month]","[performance].[Month].&amp;"&amp;"["&amp;TEXT($B18,"yyyy-mm-dd""T00:00:00""")&amp;"]","[performance].[Cycle]","[performance].[Cycle].&amp;[D]")</f>
        <v>74296.55</v>
      </c>
      <c r="L34" s="6">
        <f t="shared" si="40"/>
        <v>14859.310000000001</v>
      </c>
      <c r="M34" s="7">
        <f t="shared" si="33"/>
        <v>3.4674063800277393E-4</v>
      </c>
      <c r="N34" s="7">
        <f t="shared" si="34"/>
        <v>6.8259642600785383E-4</v>
      </c>
      <c r="O34" s="10">
        <f>GETPIVOTDATA("[Measures].[Count of Card ID]",'Pivot Table'!$B$2,"[performance].[Month]","[performance].[Month].&amp;"&amp;"["&amp;TEXT($B18,"yyyy-mm-dd""T00:00:00""")&amp;"]","[performance].[Cycle]","[performance].[Cycle].&amp;[F]")</f>
        <v>1</v>
      </c>
      <c r="P34" s="6">
        <f>GETPIVOTDATA("[Measures].[Sum of Balance]",'Pivot Table'!$B$19,"[performance].[Month]","[performance].[Month].&amp;"&amp;"["&amp;TEXT($B18,"yyyy-mm-dd""T00:00:00""")&amp;"]","[performance].[Cycle]","[performance].[Cycle].&amp;[F]")</f>
        <v>4434.6099999999997</v>
      </c>
      <c r="Q34" s="6">
        <f t="shared" si="41"/>
        <v>4434.6099999999997</v>
      </c>
      <c r="R34" s="7">
        <f t="shared" si="35"/>
        <v>6.9348127600554784E-5</v>
      </c>
      <c r="S34" s="7">
        <f t="shared" si="36"/>
        <v>4.074279272373601E-5</v>
      </c>
      <c r="T34" s="10">
        <f>GETPIVOTDATA("[Measures].[Count of Card ID]",'Pivot Table'!$B$2,"[performance].[Month]","[performance].[Month].&amp;"&amp;"["&amp;TEXT($B18,"yyyy-mm-dd""T00:00:00""")&amp;"]","[performance].[Cycle]","[performance].[Cycle].&amp;[B]")</f>
        <v>8</v>
      </c>
      <c r="U34" s="6">
        <f>GETPIVOTDATA("[Measures].[Sum of Balance]",'Pivot Table'!$B$19,"[performance].[Month]","[performance].[Month].&amp;"&amp;"["&amp;TEXT($B18,"yyyy-mm-dd""T00:00:00""")&amp;"]","[performance].[Cycle]","[performance].[Cycle].&amp;[B]")</f>
        <v>122879.34</v>
      </c>
      <c r="V34" s="6">
        <f t="shared" si="42"/>
        <v>15359.9175</v>
      </c>
      <c r="W34" s="7">
        <f t="shared" si="37"/>
        <v>5.5478502080443827E-4</v>
      </c>
      <c r="X34" s="7">
        <f t="shared" si="38"/>
        <v>1.128948764299337E-3</v>
      </c>
    </row>
    <row r="35" spans="2:24" x14ac:dyDescent="0.3">
      <c r="B35" s="9">
        <v>44104</v>
      </c>
      <c r="C35" s="10">
        <f>GETPIVOTDATA("[Measures].[Count of Card ID]",'Pivot Table'!$B$2,"[performance].[Month]","[performance].[Month].&amp;"&amp;"["&amp;TEXT($B19,"yyyy-mm-dd""T00:00:00""")&amp;"]","[performance].[Cycle]","[performance].[Cycle].&amp;[A]")</f>
        <v>28</v>
      </c>
      <c r="D35" s="6">
        <f>GETPIVOTDATA("[Measures].[Sum of Balance]",'Pivot Table'!$B$19,"[performance].[Month]","[performance].[Month].&amp;"&amp;"["&amp;TEXT($B19,"yyyy-mm-dd""T00:00:00""")&amp;"]","[performance].[Cycle]","[performance].[Cycle].&amp;[A]")</f>
        <v>403554.38</v>
      </c>
      <c r="E35" s="6">
        <f t="shared" si="39"/>
        <v>14412.656428571428</v>
      </c>
      <c r="F35" s="7">
        <f t="shared" si="31"/>
        <v>1.9668446192750771E-3</v>
      </c>
      <c r="G35" s="7">
        <f t="shared" si="32"/>
        <v>3.7377006607787933E-3</v>
      </c>
      <c r="H35" s="7">
        <f t="shared" si="43"/>
        <v>0.65116279069767447</v>
      </c>
      <c r="I35" s="15">
        <f t="shared" si="44"/>
        <v>0.68073297116584419</v>
      </c>
      <c r="J35" s="10">
        <f>GETPIVOTDATA("[Measures].[Count of Card ID]",'Pivot Table'!$B$2,"[performance].[Month]","[performance].[Month].&amp;"&amp;"["&amp;TEXT($B19,"yyyy-mm-dd""T00:00:00""")&amp;"]","[performance].[Cycle]","[performance].[Cycle].&amp;[D]")</f>
        <v>3</v>
      </c>
      <c r="K35" s="6">
        <f>GETPIVOTDATA("[Measures].[Sum of Balance]",'Pivot Table'!$B$19,"[performance].[Month]","[performance].[Month].&amp;"&amp;"["&amp;TEXT($B19,"yyyy-mm-dd""T00:00:00""")&amp;"]","[performance].[Cycle]","[performance].[Cycle].&amp;[D]")</f>
        <v>40309.29</v>
      </c>
      <c r="L35" s="6">
        <f t="shared" si="40"/>
        <v>13436.43</v>
      </c>
      <c r="M35" s="7">
        <f t="shared" si="33"/>
        <v>2.1073335206518685E-4</v>
      </c>
      <c r="N35" s="7">
        <f t="shared" si="34"/>
        <v>3.7334264558973193E-4</v>
      </c>
      <c r="O35" s="10">
        <f>GETPIVOTDATA("[Measures].[Count of Card ID]",'Pivot Table'!$B$2,"[performance].[Month]","[performance].[Month].&amp;"&amp;"["&amp;TEXT($B19,"yyyy-mm-dd""T00:00:00""")&amp;"]","[performance].[Cycle]","[performance].[Cycle].&amp;[F]")</f>
        <v>3</v>
      </c>
      <c r="P35" s="6">
        <f>GETPIVOTDATA("[Measures].[Sum of Balance]",'Pivot Table'!$B$19,"[performance].[Month]","[performance].[Month].&amp;"&amp;"["&amp;TEXT($B19,"yyyy-mm-dd""T00:00:00""")&amp;"]","[performance].[Cycle]","[performance].[Cycle].&amp;[F]")</f>
        <v>20359.009999999998</v>
      </c>
      <c r="Q35" s="6">
        <f t="shared" si="41"/>
        <v>6786.3366666666661</v>
      </c>
      <c r="R35" s="7">
        <f t="shared" si="35"/>
        <v>2.1073335206518685E-4</v>
      </c>
      <c r="S35" s="7">
        <f t="shared" si="36"/>
        <v>1.8856414129318099E-4</v>
      </c>
      <c r="T35" s="10">
        <f>GETPIVOTDATA("[Measures].[Count of Card ID]",'Pivot Table'!$B$2,"[performance].[Month]","[performance].[Month].&amp;"&amp;"["&amp;TEXT($B19,"yyyy-mm-dd""T00:00:00""")&amp;"]","[performance].[Cycle]","[performance].[Cycle].&amp;[B]")</f>
        <v>9</v>
      </c>
      <c r="U35" s="6">
        <f>GETPIVOTDATA("[Measures].[Sum of Balance]",'Pivot Table'!$B$19,"[performance].[Month]","[performance].[Month].&amp;"&amp;"["&amp;TEXT($B19,"yyyy-mm-dd""T00:00:00""")&amp;"]","[performance].[Cycle]","[performance].[Cycle].&amp;[B]")</f>
        <v>142939.99</v>
      </c>
      <c r="V35" s="6">
        <f t="shared" si="42"/>
        <v>15882.22111111111</v>
      </c>
      <c r="W35" s="7">
        <f t="shared" si="37"/>
        <v>6.3220005619556055E-4</v>
      </c>
      <c r="X35" s="7">
        <f t="shared" si="38"/>
        <v>1.3239031009271019E-3</v>
      </c>
    </row>
    <row r="36" spans="2:24" x14ac:dyDescent="0.3">
      <c r="B36" s="9">
        <v>44135</v>
      </c>
      <c r="C36" s="10">
        <f>GETPIVOTDATA("[Measures].[Count of Card ID]",'Pivot Table'!$B$2,"[performance].[Month]","[performance].[Month].&amp;"&amp;"["&amp;TEXT($B20,"yyyy-mm-dd""T00:00:00""")&amp;"]","[performance].[Cycle]","[performance].[Cycle].&amp;[A]")</f>
        <v>27</v>
      </c>
      <c r="D36" s="6">
        <f>GETPIVOTDATA("[Measures].[Sum of Balance]",'Pivot Table'!$B$19,"[performance].[Month]","[performance].[Month].&amp;"&amp;"["&amp;TEXT($B20,"yyyy-mm-dd""T00:00:00""")&amp;"]","[performance].[Cycle]","[performance].[Cycle].&amp;[A]")</f>
        <v>303853.25</v>
      </c>
      <c r="E36" s="6">
        <f t="shared" si="39"/>
        <v>11253.824074074075</v>
      </c>
      <c r="F36" s="7">
        <f t="shared" si="31"/>
        <v>1.9047619047619048E-3</v>
      </c>
      <c r="G36" s="7">
        <f t="shared" si="32"/>
        <v>2.8157691846360687E-3</v>
      </c>
      <c r="H36" s="7">
        <f t="shared" si="43"/>
        <v>0.81818181818181823</v>
      </c>
      <c r="I36" s="15">
        <f t="shared" si="44"/>
        <v>0.77023072960868588</v>
      </c>
      <c r="J36" s="10">
        <f>GETPIVOTDATA("[Measures].[Count of Card ID]",'Pivot Table'!$B$2,"[performance].[Month]","[performance].[Month].&amp;"&amp;"["&amp;TEXT($B20,"yyyy-mm-dd""T00:00:00""")&amp;"]","[performance].[Cycle]","[performance].[Cycle].&amp;[D]")</f>
        <v>0</v>
      </c>
      <c r="K36" s="6">
        <f>GETPIVOTDATA("[Measures].[Sum of Balance]",'Pivot Table'!$B$19,"[performance].[Month]","[performance].[Month].&amp;"&amp;"["&amp;TEXT($B20,"yyyy-mm-dd""T00:00:00""")&amp;"]","[performance].[Cycle]","[performance].[Cycle].&amp;[D]")</f>
        <v>0</v>
      </c>
      <c r="L36" s="6">
        <f t="shared" si="40"/>
        <v>0</v>
      </c>
      <c r="M36" s="7">
        <f t="shared" si="33"/>
        <v>0</v>
      </c>
      <c r="N36" s="7">
        <f t="shared" si="34"/>
        <v>0</v>
      </c>
      <c r="O36" s="10">
        <f>GETPIVOTDATA("[Measures].[Count of Card ID]",'Pivot Table'!$B$2,"[performance].[Month]","[performance].[Month].&amp;"&amp;"["&amp;TEXT($B20,"yyyy-mm-dd""T00:00:00""")&amp;"]","[performance].[Cycle]","[performance].[Cycle].&amp;[F]")</f>
        <v>1</v>
      </c>
      <c r="P36" s="6">
        <f>GETPIVOTDATA("[Measures].[Sum of Balance]",'Pivot Table'!$B$19,"[performance].[Month]","[performance].[Month].&amp;"&amp;"["&amp;TEXT($B20,"yyyy-mm-dd""T00:00:00""")&amp;"]","[performance].[Cycle]","[performance].[Cycle].&amp;[F]")</f>
        <v>829.02</v>
      </c>
      <c r="Q36" s="6">
        <f t="shared" si="41"/>
        <v>829.02</v>
      </c>
      <c r="R36" s="7">
        <f t="shared" si="35"/>
        <v>7.0546737213403874E-5</v>
      </c>
      <c r="S36" s="7">
        <f t="shared" si="36"/>
        <v>7.6824222530020444E-6</v>
      </c>
      <c r="T36" s="10">
        <f>GETPIVOTDATA("[Measures].[Count of Card ID]",'Pivot Table'!$B$2,"[performance].[Month]","[performance].[Month].&amp;"&amp;"["&amp;TEXT($B20,"yyyy-mm-dd""T00:00:00""")&amp;"]","[performance].[Cycle]","[performance].[Cycle].&amp;[B]")</f>
        <v>14</v>
      </c>
      <c r="U36" s="6">
        <f>GETPIVOTDATA("[Measures].[Sum of Balance]",'Pivot Table'!$B$19,"[performance].[Month]","[performance].[Month].&amp;"&amp;"["&amp;TEXT($B20,"yyyy-mm-dd""T00:00:00""")&amp;"]","[performance].[Cycle]","[performance].[Cycle].&amp;[B]")</f>
        <v>202478.57</v>
      </c>
      <c r="V36" s="6">
        <f t="shared" si="42"/>
        <v>14462.755000000001</v>
      </c>
      <c r="W36" s="7">
        <f t="shared" si="37"/>
        <v>9.8765432098765434E-4</v>
      </c>
      <c r="X36" s="7">
        <f t="shared" si="38"/>
        <v>1.8763429976647516E-3</v>
      </c>
    </row>
    <row r="37" spans="2:24" x14ac:dyDescent="0.3">
      <c r="B37" s="9">
        <v>44165</v>
      </c>
      <c r="C37" s="10">
        <f>GETPIVOTDATA("[Measures].[Count of Card ID]",'Pivot Table'!$B$2,"[performance].[Month]","[performance].[Month].&amp;"&amp;"["&amp;TEXT($B21,"yyyy-mm-dd""T00:00:00""")&amp;"]","[performance].[Cycle]","[performance].[Cycle].&amp;[A]")</f>
        <v>19</v>
      </c>
      <c r="D37" s="6">
        <f>GETPIVOTDATA("[Measures].[Sum of Balance]",'Pivot Table'!$B$19,"[performance].[Month]","[performance].[Month].&amp;"&amp;"["&amp;TEXT($B21,"yyyy-mm-dd""T00:00:00""")&amp;"]","[performance].[Cycle]","[performance].[Cycle].&amp;[A]")</f>
        <v>250576.18</v>
      </c>
      <c r="E37" s="6">
        <f t="shared" si="39"/>
        <v>13188.22</v>
      </c>
      <c r="F37" s="7">
        <f t="shared" si="31"/>
        <v>1.3456090651558074E-3</v>
      </c>
      <c r="G37" s="7">
        <f t="shared" si="32"/>
        <v>2.3216785511430645E-3</v>
      </c>
      <c r="H37" s="7">
        <f t="shared" si="43"/>
        <v>0.6333333333333333</v>
      </c>
      <c r="I37" s="15">
        <f t="shared" si="44"/>
        <v>0.61534615873304632</v>
      </c>
      <c r="J37" s="10">
        <f>GETPIVOTDATA("[Measures].[Count of Card ID]",'Pivot Table'!$B$2,"[performance].[Month]","[performance].[Month].&amp;"&amp;"["&amp;TEXT($B21,"yyyy-mm-dd""T00:00:00""")&amp;"]","[performance].[Cycle]","[performance].[Cycle].&amp;[D]")</f>
        <v>5</v>
      </c>
      <c r="K37" s="6">
        <f>GETPIVOTDATA("[Measures].[Sum of Balance]",'Pivot Table'!$B$19,"[performance].[Month]","[performance].[Month].&amp;"&amp;"["&amp;TEXT($B21,"yyyy-mm-dd""T00:00:00""")&amp;"]","[performance].[Cycle]","[performance].[Cycle].&amp;[D]")</f>
        <v>57839.82</v>
      </c>
      <c r="L37" s="6">
        <f t="shared" si="40"/>
        <v>11567.964</v>
      </c>
      <c r="M37" s="7">
        <f t="shared" si="33"/>
        <v>3.5410764872521248E-4</v>
      </c>
      <c r="N37" s="7">
        <f t="shared" si="34"/>
        <v>5.3590676294919834E-4</v>
      </c>
      <c r="O37" s="10">
        <f>GETPIVOTDATA("[Measures].[Count of Card ID]",'Pivot Table'!$B$2,"[performance].[Month]","[performance].[Month].&amp;"&amp;"["&amp;TEXT($B21,"yyyy-mm-dd""T00:00:00""")&amp;"]","[performance].[Cycle]","[performance].[Cycle].&amp;[F]")</f>
        <v>1</v>
      </c>
      <c r="P37" s="6">
        <f>GETPIVOTDATA("[Measures].[Sum of Balance]",'Pivot Table'!$B$19,"[performance].[Month]","[performance].[Month].&amp;"&amp;"["&amp;TEXT($B21,"yyyy-mm-dd""T00:00:00""")&amp;"]","[performance].[Cycle]","[performance].[Cycle].&amp;[F]")</f>
        <v>2706.96</v>
      </c>
      <c r="Q37" s="6">
        <f t="shared" si="41"/>
        <v>2706.96</v>
      </c>
      <c r="R37" s="7">
        <f t="shared" si="35"/>
        <v>7.0821529745042488E-5</v>
      </c>
      <c r="S37" s="7">
        <f t="shared" si="36"/>
        <v>2.5080959294703234E-5</v>
      </c>
      <c r="T37" s="10">
        <f>GETPIVOTDATA("[Measures].[Count of Card ID]",'Pivot Table'!$B$2,"[performance].[Month]","[performance].[Month].&amp;"&amp;"["&amp;TEXT($B21,"yyyy-mm-dd""T00:00:00""")&amp;"]","[performance].[Cycle]","[performance].[Cycle].&amp;[B]")</f>
        <v>13</v>
      </c>
      <c r="U37" s="6">
        <f>GETPIVOTDATA("[Measures].[Sum of Balance]",'Pivot Table'!$B$19,"[performance].[Month]","[performance].[Month].&amp;"&amp;"["&amp;TEXT($B21,"yyyy-mm-dd""T00:00:00""")&amp;"]","[performance].[Cycle]","[performance].[Cycle].&amp;[B]")</f>
        <v>201801.37</v>
      </c>
      <c r="V37" s="6">
        <f t="shared" si="42"/>
        <v>15523.182307692306</v>
      </c>
      <c r="W37" s="7">
        <f t="shared" si="37"/>
        <v>9.2067988668555244E-4</v>
      </c>
      <c r="X37" s="7">
        <f t="shared" si="38"/>
        <v>1.8697623705504869E-3</v>
      </c>
    </row>
    <row r="38" spans="2:24" x14ac:dyDescent="0.3">
      <c r="B38" s="9">
        <v>44196</v>
      </c>
      <c r="C38" s="10">
        <f>GETPIVOTDATA("[Measures].[Count of Card ID]",'Pivot Table'!$B$2,"[performance].[Month]","[performance].[Month].&amp;"&amp;"["&amp;TEXT($B22,"yyyy-mm-dd""T00:00:00""")&amp;"]","[performance].[Cycle]","[performance].[Cycle].&amp;[A]")</f>
        <v>37</v>
      </c>
      <c r="D38" s="6">
        <f>GETPIVOTDATA("[Measures].[Sum of Balance]",'Pivot Table'!$B$19,"[performance].[Month]","[performance].[Month].&amp;"&amp;"["&amp;TEXT($B22,"yyyy-mm-dd""T00:00:00""")&amp;"]","[performance].[Cycle]","[performance].[Cycle].&amp;[A]")</f>
        <v>496213.75</v>
      </c>
      <c r="E38" s="6">
        <f t="shared" si="39"/>
        <v>13411.182432432432</v>
      </c>
      <c r="F38" s="7">
        <f t="shared" si="31"/>
        <v>2.6168753094278239E-3</v>
      </c>
      <c r="G38" s="7">
        <f t="shared" si="32"/>
        <v>4.6329107697322958E-3</v>
      </c>
      <c r="H38" s="7">
        <f t="shared" si="43"/>
        <v>0.72549019607843135</v>
      </c>
      <c r="I38" s="15">
        <f t="shared" si="44"/>
        <v>0.72689662575645064</v>
      </c>
      <c r="J38" s="10">
        <f>GETPIVOTDATA("[Measures].[Count of Card ID]",'Pivot Table'!$B$2,"[performance].[Month]","[performance].[Month].&amp;"&amp;"["&amp;TEXT($B22,"yyyy-mm-dd""T00:00:00""")&amp;"]","[performance].[Cycle]","[performance].[Cycle].&amp;[D]")</f>
        <v>3</v>
      </c>
      <c r="K38" s="6">
        <f>GETPIVOTDATA("[Measures].[Sum of Balance]",'Pivot Table'!$B$19,"[performance].[Month]","[performance].[Month].&amp;"&amp;"["&amp;TEXT($B22,"yyyy-mm-dd""T00:00:00""")&amp;"]","[performance].[Cycle]","[performance].[Cycle].&amp;[D]")</f>
        <v>39227.42</v>
      </c>
      <c r="L38" s="6">
        <f t="shared" si="40"/>
        <v>13075.806666666665</v>
      </c>
      <c r="M38" s="7">
        <f t="shared" si="33"/>
        <v>2.1217907914279651E-4</v>
      </c>
      <c r="N38" s="7">
        <f t="shared" si="34"/>
        <v>3.6624768375888831E-4</v>
      </c>
      <c r="O38" s="10">
        <f>GETPIVOTDATA("[Measures].[Count of Card ID]",'Pivot Table'!$B$2,"[performance].[Month]","[performance].[Month].&amp;"&amp;"["&amp;TEXT($B22,"yyyy-mm-dd""T00:00:00""")&amp;"]","[performance].[Cycle]","[performance].[Cycle].&amp;[F]")</f>
        <v>1</v>
      </c>
      <c r="P38" s="6">
        <f>GETPIVOTDATA("[Measures].[Sum of Balance]",'Pivot Table'!$B$19,"[performance].[Month]","[performance].[Month].&amp;"&amp;"["&amp;TEXT($B22,"yyyy-mm-dd""T00:00:00""")&amp;"]","[performance].[Cycle]","[performance].[Cycle].&amp;[F]")</f>
        <v>977.78</v>
      </c>
      <c r="Q38" s="6">
        <f t="shared" si="41"/>
        <v>977.78</v>
      </c>
      <c r="R38" s="7">
        <f t="shared" si="35"/>
        <v>7.0726359714265509E-5</v>
      </c>
      <c r="S38" s="7">
        <f t="shared" si="36"/>
        <v>9.1290648282697616E-6</v>
      </c>
      <c r="T38" s="10">
        <f>GETPIVOTDATA("[Measures].[Count of Card ID]",'Pivot Table'!$B$2,"[performance].[Month]","[performance].[Month].&amp;"&amp;"["&amp;TEXT($B22,"yyyy-mm-dd""T00:00:00""")&amp;"]","[performance].[Cycle]","[performance].[Cycle].&amp;[B]")</f>
        <v>9</v>
      </c>
      <c r="U38" s="6">
        <f>GETPIVOTDATA("[Measures].[Sum of Balance]",'Pivot Table'!$B$19,"[performance].[Month]","[performance].[Month].&amp;"&amp;"["&amp;TEXT($B22,"yyyy-mm-dd""T00:00:00""")&amp;"]","[performance].[Cycle]","[performance].[Cycle].&amp;[B]")</f>
        <v>144797.45000000001</v>
      </c>
      <c r="V38" s="6">
        <f t="shared" si="42"/>
        <v>16088.605555555558</v>
      </c>
      <c r="W38" s="7">
        <f t="shared" si="37"/>
        <v>6.3653723742838951E-4</v>
      </c>
      <c r="X38" s="7">
        <f t="shared" si="38"/>
        <v>1.3519046288716782E-3</v>
      </c>
    </row>
    <row r="39" spans="2:24" ht="15" thickBot="1" x14ac:dyDescent="0.35">
      <c r="C39" s="57" t="s">
        <v>19</v>
      </c>
      <c r="D39" s="58"/>
      <c r="E39" s="58"/>
      <c r="F39" s="40">
        <f>AVERAGE((F27:F38))</f>
        <v>2.8196483556585696E-3</v>
      </c>
      <c r="G39" s="40">
        <f>AVERAGE((G27:G38))</f>
        <v>4.5837152029920203E-3</v>
      </c>
      <c r="H39" s="40">
        <f t="shared" ref="H39" si="45">AVERAGE((H27:H38))</f>
        <v>0.74577798940717888</v>
      </c>
      <c r="I39" s="41">
        <f t="shared" ref="I39" si="46">AVERAGE((I27:I38))</f>
        <v>0.75229320842993519</v>
      </c>
      <c r="J39" s="57" t="s">
        <v>19</v>
      </c>
      <c r="K39" s="58"/>
      <c r="L39" s="58"/>
      <c r="M39" s="40">
        <f>AVERAGE((M27:M38))</f>
        <v>2.3140959333315834E-4</v>
      </c>
      <c r="N39" s="40">
        <f>AVERAGE((N27:N38))</f>
        <v>3.5270181869087694E-4</v>
      </c>
      <c r="O39" s="57" t="s">
        <v>19</v>
      </c>
      <c r="P39" s="58"/>
      <c r="Q39" s="58"/>
      <c r="R39" s="40">
        <f>AVERAGE((R27:R38))</f>
        <v>3.4840521364455152E-4</v>
      </c>
      <c r="S39" s="40">
        <f>AVERAGE((S27:S38))</f>
        <v>1.898652603278231E-4</v>
      </c>
      <c r="T39" s="57" t="s">
        <v>19</v>
      </c>
      <c r="U39" s="58"/>
      <c r="V39" s="58"/>
      <c r="W39" s="40">
        <f>AVERAGE((W27:W38))</f>
        <v>9.2145363573157538E-4</v>
      </c>
      <c r="X39" s="40">
        <f>AVERAGE((X27:X38))</f>
        <v>1.8147372709420139E-3</v>
      </c>
    </row>
    <row r="40" spans="2:24" ht="15" thickBot="1" x14ac:dyDescent="0.35"/>
    <row r="41" spans="2:24" x14ac:dyDescent="0.3">
      <c r="C41" s="59" t="s">
        <v>29</v>
      </c>
      <c r="D41" s="60"/>
      <c r="E41" s="60"/>
      <c r="F41" s="60"/>
      <c r="G41" s="61"/>
      <c r="H41" s="64" t="s">
        <v>30</v>
      </c>
      <c r="I41" s="65"/>
      <c r="J41" s="65"/>
      <c r="K41" s="65"/>
      <c r="L41" s="66"/>
    </row>
    <row r="42" spans="2:24" s="21" customFormat="1" ht="28.8" x14ac:dyDescent="0.3">
      <c r="B42" s="22" t="s">
        <v>13</v>
      </c>
      <c r="C42" s="23" t="s">
        <v>14</v>
      </c>
      <c r="D42" s="24" t="s">
        <v>15</v>
      </c>
      <c r="E42" s="24" t="s">
        <v>16</v>
      </c>
      <c r="F42" s="24" t="s">
        <v>31</v>
      </c>
      <c r="G42" s="24" t="s">
        <v>32</v>
      </c>
      <c r="H42" s="42" t="s">
        <v>14</v>
      </c>
      <c r="I42" s="43" t="s">
        <v>15</v>
      </c>
      <c r="J42" s="43" t="s">
        <v>16</v>
      </c>
      <c r="K42" s="43" t="s">
        <v>33</v>
      </c>
      <c r="L42" s="43" t="s">
        <v>34</v>
      </c>
    </row>
    <row r="43" spans="2:24" x14ac:dyDescent="0.3">
      <c r="B43" s="9">
        <v>43861</v>
      </c>
      <c r="C43" s="10">
        <f>R11+Y11+AF11</f>
        <v>422</v>
      </c>
      <c r="D43" s="6">
        <f>S11+Z11+AG11</f>
        <v>4683123.71</v>
      </c>
      <c r="E43" s="6">
        <f>IFERROR(D43/C43,0)</f>
        <v>11097.449549763032</v>
      </c>
      <c r="F43" s="7">
        <f t="shared" ref="F43:F54" si="47">IFERROR(C43/$C11,0)</f>
        <v>2.6001232285890328E-2</v>
      </c>
      <c r="G43" s="7">
        <f t="shared" ref="G43:G54" si="48">IFERROR(D43/$D11,0)</f>
        <v>3.7071654273713096E-2</v>
      </c>
      <c r="H43" s="10">
        <f t="shared" ref="H43:H54" si="49">C27+J27+O27+T27</f>
        <v>97</v>
      </c>
      <c r="I43" s="6">
        <f t="shared" ref="I43:I54" si="50">D27+K27+P27+U27</f>
        <v>930866.22000000009</v>
      </c>
      <c r="J43" s="6">
        <f>IFERROR(I43/H43,0)</f>
        <v>9596.5589690721663</v>
      </c>
      <c r="K43" s="7">
        <f>IFERROR(H43/$C11,0)*12</f>
        <v>7.1719038817005545E-2</v>
      </c>
      <c r="L43" s="7">
        <f>IFERROR(I43/$D11,0)*12</f>
        <v>8.8424956041790723E-2</v>
      </c>
    </row>
    <row r="44" spans="2:24" x14ac:dyDescent="0.3">
      <c r="B44" s="9">
        <v>43890</v>
      </c>
      <c r="C44" s="10">
        <f t="shared" ref="C44:D44" si="51">R12+Y12+AF12</f>
        <v>462</v>
      </c>
      <c r="D44" s="6">
        <f t="shared" si="51"/>
        <v>5486851.9000000004</v>
      </c>
      <c r="E44" s="6">
        <f t="shared" ref="E44:E54" si="52">IFERROR(D44/C44,0)</f>
        <v>11876.302813852815</v>
      </c>
      <c r="F44" s="7">
        <f t="shared" si="47"/>
        <v>2.88659793814433E-2</v>
      </c>
      <c r="G44" s="7">
        <f t="shared" si="48"/>
        <v>4.2454732486452151E-2</v>
      </c>
      <c r="H44" s="10">
        <f t="shared" si="49"/>
        <v>91</v>
      </c>
      <c r="I44" s="6">
        <f t="shared" si="50"/>
        <v>1081063.7</v>
      </c>
      <c r="J44" s="6">
        <f t="shared" ref="J44:J54" si="53">IFERROR(I44/H44,0)</f>
        <v>11879.820879120878</v>
      </c>
      <c r="K44" s="7">
        <f t="shared" ref="K44:K54" si="54">IFERROR(H44/$C12,0)*12</f>
        <v>6.8228678537956888E-2</v>
      </c>
      <c r="L44" s="7">
        <f t="shared" ref="L44:L54" si="55">IFERROR(I44/$D12,0)*12</f>
        <v>0.10037727502937885</v>
      </c>
    </row>
    <row r="45" spans="2:24" x14ac:dyDescent="0.3">
      <c r="B45" s="9">
        <v>43921</v>
      </c>
      <c r="C45" s="10">
        <f t="shared" ref="C45:D45" si="56">R13+Y13+AF13</f>
        <v>439</v>
      </c>
      <c r="D45" s="6">
        <f t="shared" si="56"/>
        <v>5408061.54</v>
      </c>
      <c r="E45" s="6">
        <f t="shared" si="52"/>
        <v>12319.046788154898</v>
      </c>
      <c r="F45" s="7">
        <f t="shared" si="47"/>
        <v>2.8017103835598953E-2</v>
      </c>
      <c r="G45" s="7">
        <f t="shared" si="48"/>
        <v>4.3439182411721261E-2</v>
      </c>
      <c r="H45" s="10">
        <f t="shared" si="49"/>
        <v>86</v>
      </c>
      <c r="I45" s="6">
        <f t="shared" si="50"/>
        <v>895250.28</v>
      </c>
      <c r="J45" s="6">
        <f t="shared" si="53"/>
        <v>10409.886976744187</v>
      </c>
      <c r="K45" s="7">
        <f t="shared" si="54"/>
        <v>6.5862531112387518E-2</v>
      </c>
      <c r="L45" s="7">
        <f t="shared" si="55"/>
        <v>8.6291045165283825E-2</v>
      </c>
    </row>
    <row r="46" spans="2:24" x14ac:dyDescent="0.3">
      <c r="B46" s="9">
        <v>43951</v>
      </c>
      <c r="C46" s="10">
        <f t="shared" ref="C46:D46" si="57">R14+Y14+AF14</f>
        <v>364</v>
      </c>
      <c r="D46" s="6">
        <f t="shared" si="57"/>
        <v>4666938.5</v>
      </c>
      <c r="E46" s="6">
        <f t="shared" si="52"/>
        <v>12821.259615384615</v>
      </c>
      <c r="F46" s="7">
        <f t="shared" si="47"/>
        <v>2.3605706874189364E-2</v>
      </c>
      <c r="G46" s="7">
        <f t="shared" si="48"/>
        <v>4.0608597043897368E-2</v>
      </c>
      <c r="H46" s="10">
        <f t="shared" si="49"/>
        <v>113</v>
      </c>
      <c r="I46" s="6">
        <f t="shared" si="50"/>
        <v>1437215.16</v>
      </c>
      <c r="J46" s="6">
        <f t="shared" si="53"/>
        <v>12718.718230088494</v>
      </c>
      <c r="K46" s="7">
        <f t="shared" si="54"/>
        <v>8.7937743190661471E-2</v>
      </c>
      <c r="L46" s="7">
        <f t="shared" si="55"/>
        <v>0.1500682932877401</v>
      </c>
    </row>
    <row r="47" spans="2:24" x14ac:dyDescent="0.3">
      <c r="B47" s="9">
        <v>43982</v>
      </c>
      <c r="C47" s="10">
        <f t="shared" ref="C47:D47" si="58">R15+Y15+AF15</f>
        <v>286</v>
      </c>
      <c r="D47" s="6">
        <f t="shared" si="58"/>
        <v>3793749.03</v>
      </c>
      <c r="E47" s="6">
        <f t="shared" si="52"/>
        <v>13264.856748251748</v>
      </c>
      <c r="F47" s="7">
        <f t="shared" si="47"/>
        <v>1.8939143103105755E-2</v>
      </c>
      <c r="G47" s="7">
        <f t="shared" si="48"/>
        <v>3.4294287985296046E-2</v>
      </c>
      <c r="H47" s="10">
        <f t="shared" si="49"/>
        <v>73</v>
      </c>
      <c r="I47" s="6">
        <f t="shared" si="50"/>
        <v>953847.67999999993</v>
      </c>
      <c r="J47" s="6">
        <f t="shared" si="53"/>
        <v>13066.406575342466</v>
      </c>
      <c r="K47" s="7">
        <f t="shared" si="54"/>
        <v>5.8009403350771468E-2</v>
      </c>
      <c r="L47" s="7">
        <f t="shared" si="55"/>
        <v>0.10346976599670277</v>
      </c>
    </row>
    <row r="48" spans="2:24" x14ac:dyDescent="0.3">
      <c r="B48" s="9">
        <v>44012</v>
      </c>
      <c r="C48" s="10">
        <f t="shared" ref="C48:D48" si="59">R16+Y16+AF16</f>
        <v>258</v>
      </c>
      <c r="D48" s="6">
        <f t="shared" si="59"/>
        <v>3514854.14</v>
      </c>
      <c r="E48" s="6">
        <f t="shared" si="52"/>
        <v>13623.465658914729</v>
      </c>
      <c r="F48" s="7">
        <f t="shared" si="47"/>
        <v>1.7405383525602103E-2</v>
      </c>
      <c r="G48" s="7">
        <f t="shared" si="48"/>
        <v>3.2172380951297118E-2</v>
      </c>
      <c r="H48" s="10">
        <f t="shared" si="49"/>
        <v>49</v>
      </c>
      <c r="I48" s="6">
        <f t="shared" si="50"/>
        <v>662760.43999999994</v>
      </c>
      <c r="J48" s="6">
        <f t="shared" si="53"/>
        <v>13525.723265306122</v>
      </c>
      <c r="K48" s="7">
        <f t="shared" si="54"/>
        <v>3.966808338393038E-2</v>
      </c>
      <c r="L48" s="7">
        <f t="shared" si="55"/>
        <v>7.2797039669347849E-2</v>
      </c>
    </row>
    <row r="49" spans="2:12" x14ac:dyDescent="0.3">
      <c r="B49" s="9">
        <v>44043</v>
      </c>
      <c r="C49" s="10">
        <f t="shared" ref="C49:D49" si="60">R17+Y17+AF17</f>
        <v>222</v>
      </c>
      <c r="D49" s="6">
        <f t="shared" si="60"/>
        <v>3080363.45</v>
      </c>
      <c r="E49" s="6">
        <f t="shared" si="52"/>
        <v>13875.511036036038</v>
      </c>
      <c r="F49" s="7">
        <f t="shared" si="47"/>
        <v>1.5195071868583163E-2</v>
      </c>
      <c r="G49" s="7">
        <f t="shared" si="48"/>
        <v>2.8382976565513508E-2</v>
      </c>
      <c r="H49" s="10">
        <f t="shared" si="49"/>
        <v>58</v>
      </c>
      <c r="I49" s="6">
        <f t="shared" si="50"/>
        <v>639779.24</v>
      </c>
      <c r="J49" s="6">
        <f t="shared" si="53"/>
        <v>11030.676551724138</v>
      </c>
      <c r="K49" s="7">
        <f t="shared" si="54"/>
        <v>4.7638603696098569E-2</v>
      </c>
      <c r="L49" s="7">
        <f t="shared" si="55"/>
        <v>7.0740376468323721E-2</v>
      </c>
    </row>
    <row r="50" spans="2:12" x14ac:dyDescent="0.3">
      <c r="B50" s="9">
        <v>44074</v>
      </c>
      <c r="C50" s="10">
        <f t="shared" ref="C50:D50" si="61">R18+Y18+AF18</f>
        <v>220</v>
      </c>
      <c r="D50" s="6">
        <f t="shared" si="61"/>
        <v>2939243.26</v>
      </c>
      <c r="E50" s="6">
        <f t="shared" si="52"/>
        <v>13360.196636363635</v>
      </c>
      <c r="F50" s="7">
        <f t="shared" si="47"/>
        <v>1.5256588072122053E-2</v>
      </c>
      <c r="G50" s="7">
        <f t="shared" si="48"/>
        <v>2.7004173739476098E-2</v>
      </c>
      <c r="H50" s="10">
        <f t="shared" si="49"/>
        <v>44</v>
      </c>
      <c r="I50" s="6">
        <f t="shared" si="50"/>
        <v>635893.64</v>
      </c>
      <c r="J50" s="6">
        <f t="shared" si="53"/>
        <v>14452.128181818181</v>
      </c>
      <c r="K50" s="7">
        <f t="shared" si="54"/>
        <v>3.661581137309293E-2</v>
      </c>
      <c r="L50" s="7">
        <f t="shared" si="55"/>
        <v>7.0106952635371339E-2</v>
      </c>
    </row>
    <row r="51" spans="2:12" x14ac:dyDescent="0.3">
      <c r="B51" s="9">
        <v>44104</v>
      </c>
      <c r="C51" s="10">
        <f t="shared" ref="C51:D51" si="62">R19+Y19+AF19</f>
        <v>221</v>
      </c>
      <c r="D51" s="6">
        <f t="shared" si="62"/>
        <v>2913969.36</v>
      </c>
      <c r="E51" s="6">
        <f t="shared" si="52"/>
        <v>13185.381719457013</v>
      </c>
      <c r="F51" s="7">
        <f t="shared" si="47"/>
        <v>1.5524023602135431E-2</v>
      </c>
      <c r="G51" s="7">
        <f t="shared" si="48"/>
        <v>2.6989039748152793E-2</v>
      </c>
      <c r="H51" s="10">
        <f t="shared" si="49"/>
        <v>43</v>
      </c>
      <c r="I51" s="6">
        <f t="shared" si="50"/>
        <v>607162.66999999993</v>
      </c>
      <c r="J51" s="6">
        <f t="shared" si="53"/>
        <v>14120.062093023254</v>
      </c>
      <c r="K51" s="7">
        <f t="shared" si="54"/>
        <v>3.6246136555212138E-2</v>
      </c>
      <c r="L51" s="7">
        <f t="shared" si="55"/>
        <v>6.7482126583065682E-2</v>
      </c>
    </row>
    <row r="52" spans="2:12" x14ac:dyDescent="0.3">
      <c r="B52" s="9">
        <v>44135</v>
      </c>
      <c r="C52" s="10">
        <f t="shared" ref="C52:D52" si="63">R20+Y20+AF20</f>
        <v>246</v>
      </c>
      <c r="D52" s="6">
        <f t="shared" si="63"/>
        <v>3296831.91</v>
      </c>
      <c r="E52" s="6">
        <f t="shared" si="52"/>
        <v>13401.755731707317</v>
      </c>
      <c r="F52" s="7">
        <f t="shared" si="47"/>
        <v>1.7354497354497355E-2</v>
      </c>
      <c r="G52" s="7">
        <f t="shared" si="48"/>
        <v>3.055131942509377E-2</v>
      </c>
      <c r="H52" s="10">
        <f t="shared" si="49"/>
        <v>42</v>
      </c>
      <c r="I52" s="6">
        <f t="shared" si="50"/>
        <v>507160.84</v>
      </c>
      <c r="J52" s="6">
        <f t="shared" si="53"/>
        <v>12075.258095238096</v>
      </c>
      <c r="K52" s="7">
        <f t="shared" si="54"/>
        <v>3.5555555555555556E-2</v>
      </c>
      <c r="L52" s="7">
        <f t="shared" si="55"/>
        <v>5.6397535254645866E-2</v>
      </c>
    </row>
    <row r="53" spans="2:12" x14ac:dyDescent="0.3">
      <c r="B53" s="9">
        <v>44165</v>
      </c>
      <c r="C53" s="10">
        <f t="shared" ref="C53:D53" si="64">R21+Y21+AF21</f>
        <v>265</v>
      </c>
      <c r="D53" s="6">
        <f t="shared" si="64"/>
        <v>3573313.2100000004</v>
      </c>
      <c r="E53" s="6">
        <f t="shared" si="52"/>
        <v>13484.200792452832</v>
      </c>
      <c r="F53" s="7">
        <f t="shared" si="47"/>
        <v>1.8767705382436262E-2</v>
      </c>
      <c r="G53" s="7">
        <f t="shared" si="48"/>
        <v>3.3108033797039985E-2</v>
      </c>
      <c r="H53" s="10">
        <f t="shared" si="49"/>
        <v>38</v>
      </c>
      <c r="I53" s="6">
        <f t="shared" si="50"/>
        <v>512924.33</v>
      </c>
      <c r="J53" s="6">
        <f t="shared" si="53"/>
        <v>13498.008684210527</v>
      </c>
      <c r="K53" s="7">
        <f t="shared" si="54"/>
        <v>3.2294617563739379E-2</v>
      </c>
      <c r="L53" s="7">
        <f t="shared" si="55"/>
        <v>5.7029143727249439E-2</v>
      </c>
    </row>
    <row r="54" spans="2:12" x14ac:dyDescent="0.3">
      <c r="B54" s="9">
        <v>44196</v>
      </c>
      <c r="C54" s="10">
        <f t="shared" ref="C54:D54" si="65">R22+Y22+AF22</f>
        <v>239</v>
      </c>
      <c r="D54" s="6">
        <f t="shared" si="65"/>
        <v>3202451.28</v>
      </c>
      <c r="E54" s="6">
        <f t="shared" si="52"/>
        <v>13399.377740585773</v>
      </c>
      <c r="F54" s="7">
        <f t="shared" si="47"/>
        <v>1.6903599971709458E-2</v>
      </c>
      <c r="G54" s="7">
        <f t="shared" si="48"/>
        <v>2.989975796651136E-2</v>
      </c>
      <c r="H54" s="10">
        <f t="shared" si="49"/>
        <v>50</v>
      </c>
      <c r="I54" s="6">
        <f t="shared" si="50"/>
        <v>681216.40000000014</v>
      </c>
      <c r="J54" s="6">
        <f t="shared" si="53"/>
        <v>13624.328000000003</v>
      </c>
      <c r="K54" s="7">
        <f t="shared" si="54"/>
        <v>4.2435815828559306E-2</v>
      </c>
      <c r="L54" s="7">
        <f t="shared" si="55"/>
        <v>7.6322305766293591E-2</v>
      </c>
    </row>
    <row r="55" spans="2:12" ht="15" thickBot="1" x14ac:dyDescent="0.35">
      <c r="C55" s="62" t="s">
        <v>19</v>
      </c>
      <c r="D55" s="63"/>
      <c r="E55" s="63"/>
      <c r="F55" s="38">
        <f>AVERAGE((F43:F54))</f>
        <v>2.0153002938109458E-2</v>
      </c>
      <c r="G55" s="38">
        <f>AVERAGE((G43:G54))</f>
        <v>3.383134469951371E-2</v>
      </c>
      <c r="H55" s="57" t="s">
        <v>19</v>
      </c>
      <c r="I55" s="58"/>
      <c r="J55" s="58"/>
      <c r="K55" s="40">
        <f>AVERAGE((K43:K54))</f>
        <v>5.1851001580414259E-2</v>
      </c>
      <c r="L55" s="40">
        <f>AVERAGE((L43:L54))</f>
        <v>8.329223463543281E-2</v>
      </c>
    </row>
  </sheetData>
  <mergeCells count="51">
    <mergeCell ref="F9:J9"/>
    <mergeCell ref="F23:H23"/>
    <mergeCell ref="K9:Q9"/>
    <mergeCell ref="K23:M23"/>
    <mergeCell ref="P10:P11"/>
    <mergeCell ref="Q10:Q11"/>
    <mergeCell ref="H26:H27"/>
    <mergeCell ref="I26:I27"/>
    <mergeCell ref="C39:E39"/>
    <mergeCell ref="J39:L39"/>
    <mergeCell ref="J25:N25"/>
    <mergeCell ref="AF9:AL9"/>
    <mergeCell ref="AK10:AK11"/>
    <mergeCell ref="AL10:AL11"/>
    <mergeCell ref="AF23:AH23"/>
    <mergeCell ref="C25:I25"/>
    <mergeCell ref="O25:S25"/>
    <mergeCell ref="T25:X25"/>
    <mergeCell ref="R9:X9"/>
    <mergeCell ref="W10:W11"/>
    <mergeCell ref="X10:X11"/>
    <mergeCell ref="R23:T23"/>
    <mergeCell ref="Y9:AE9"/>
    <mergeCell ref="AD10:AD11"/>
    <mergeCell ref="AE10:AE11"/>
    <mergeCell ref="Y23:AA23"/>
    <mergeCell ref="C9:E9"/>
    <mergeCell ref="T39:V39"/>
    <mergeCell ref="C41:G41"/>
    <mergeCell ref="C55:E55"/>
    <mergeCell ref="H41:L41"/>
    <mergeCell ref="H55:J55"/>
    <mergeCell ref="O39:Q39"/>
    <mergeCell ref="B2:Q2"/>
    <mergeCell ref="B3:Q3"/>
    <mergeCell ref="B5:C5"/>
    <mergeCell ref="D5:E5"/>
    <mergeCell ref="F5:G5"/>
    <mergeCell ref="H5:I5"/>
    <mergeCell ref="J5:K5"/>
    <mergeCell ref="L5:M5"/>
    <mergeCell ref="N5:O5"/>
    <mergeCell ref="P5:Q5"/>
    <mergeCell ref="L6:M7"/>
    <mergeCell ref="N6:O7"/>
    <mergeCell ref="P6:Q7"/>
    <mergeCell ref="B6:C7"/>
    <mergeCell ref="D6:E7"/>
    <mergeCell ref="F6:G7"/>
    <mergeCell ref="H6:I7"/>
    <mergeCell ref="J6:K7"/>
  </mergeCells>
  <conditionalFormatting sqref="C11:C22">
    <cfRule type="dataBar" priority="87">
      <dataBar>
        <cfvo type="min"/>
        <cfvo type="max"/>
        <color theme="0" tint="-0.14999847407452621"/>
      </dataBar>
      <extLst>
        <ext xmlns:x14="http://schemas.microsoft.com/office/spreadsheetml/2009/9/main" uri="{B025F937-C7B1-47D3-B67F-A62EFF666E3E}">
          <x14:id>{8015F6A5-7885-406D-A664-132CD4CBA470}</x14:id>
        </ext>
      </extLst>
    </cfRule>
  </conditionalFormatting>
  <conditionalFormatting sqref="C27:C38">
    <cfRule type="dataBar" priority="44">
      <dataBar>
        <cfvo type="min"/>
        <cfvo type="max"/>
        <color theme="5" tint="0.79998168889431442"/>
      </dataBar>
      <extLst>
        <ext xmlns:x14="http://schemas.microsoft.com/office/spreadsheetml/2009/9/main" uri="{B025F937-C7B1-47D3-B67F-A62EFF666E3E}">
          <x14:id>{491186C0-439F-4ED9-8DC2-52DC14606AF7}</x14:id>
        </ext>
      </extLst>
    </cfRule>
  </conditionalFormatting>
  <conditionalFormatting sqref="C43:C54">
    <cfRule type="dataBar" priority="10">
      <dataBar>
        <cfvo type="min"/>
        <cfvo type="max"/>
        <color theme="7" tint="0.79998168889431442"/>
      </dataBar>
      <extLst>
        <ext xmlns:x14="http://schemas.microsoft.com/office/spreadsheetml/2009/9/main" uri="{B025F937-C7B1-47D3-B67F-A62EFF666E3E}">
          <x14:id>{14264C59-84AF-4F59-A074-3818F52B1957}</x14:id>
        </ext>
      </extLst>
    </cfRule>
  </conditionalFormatting>
  <conditionalFormatting sqref="D11:D22">
    <cfRule type="dataBar" priority="86">
      <dataBar>
        <cfvo type="min"/>
        <cfvo type="max"/>
        <color theme="0" tint="-0.14999847407452621"/>
      </dataBar>
      <extLst>
        <ext xmlns:x14="http://schemas.microsoft.com/office/spreadsheetml/2009/9/main" uri="{B025F937-C7B1-47D3-B67F-A62EFF666E3E}">
          <x14:id>{64F5C056-C2EF-40A7-8A22-E8E2714FB64D}</x14:id>
        </ext>
      </extLst>
    </cfRule>
  </conditionalFormatting>
  <conditionalFormatting sqref="D27:D38">
    <cfRule type="dataBar" priority="42">
      <dataBar>
        <cfvo type="min"/>
        <cfvo type="max"/>
        <color theme="5" tint="0.79998168889431442"/>
      </dataBar>
      <extLst>
        <ext xmlns:x14="http://schemas.microsoft.com/office/spreadsheetml/2009/9/main" uri="{B025F937-C7B1-47D3-B67F-A62EFF666E3E}">
          <x14:id>{344C5D09-D000-4D31-ACD3-6819E6CC273C}</x14:id>
        </ext>
      </extLst>
    </cfRule>
  </conditionalFormatting>
  <conditionalFormatting sqref="D43:D54">
    <cfRule type="dataBar" priority="8">
      <dataBar>
        <cfvo type="min"/>
        <cfvo type="max"/>
        <color theme="7" tint="0.79998168889431442"/>
      </dataBar>
      <extLst>
        <ext xmlns:x14="http://schemas.microsoft.com/office/spreadsheetml/2009/9/main" uri="{B025F937-C7B1-47D3-B67F-A62EFF666E3E}">
          <x14:id>{02FCB185-6DA0-4FBA-B9EA-37DB6D96C525}</x14:id>
        </ext>
      </extLst>
    </cfRule>
  </conditionalFormatting>
  <conditionalFormatting sqref="E11:E22">
    <cfRule type="dataBar" priority="85">
      <dataBar>
        <cfvo type="min"/>
        <cfvo type="max"/>
        <color theme="0" tint="-0.14999847407452621"/>
      </dataBar>
      <extLst>
        <ext xmlns:x14="http://schemas.microsoft.com/office/spreadsheetml/2009/9/main" uri="{B025F937-C7B1-47D3-B67F-A62EFF666E3E}">
          <x14:id>{D4876393-3A79-4DFB-A005-0F7356674930}</x14:id>
        </ext>
      </extLst>
    </cfRule>
  </conditionalFormatting>
  <conditionalFormatting sqref="E27:E38">
    <cfRule type="dataBar" priority="43">
      <dataBar>
        <cfvo type="min"/>
        <cfvo type="max"/>
        <color theme="5" tint="0.79998168889431442"/>
      </dataBar>
      <extLst>
        <ext xmlns:x14="http://schemas.microsoft.com/office/spreadsheetml/2009/9/main" uri="{B025F937-C7B1-47D3-B67F-A62EFF666E3E}">
          <x14:id>{2157CEE9-F5E4-4E54-BC8C-E69CFB88DAC5}</x14:id>
        </ext>
      </extLst>
    </cfRule>
  </conditionalFormatting>
  <conditionalFormatting sqref="E43:E54">
    <cfRule type="dataBar" priority="9">
      <dataBar>
        <cfvo type="min"/>
        <cfvo type="max"/>
        <color theme="7" tint="0.79998168889431442"/>
      </dataBar>
      <extLst>
        <ext xmlns:x14="http://schemas.microsoft.com/office/spreadsheetml/2009/9/main" uri="{B025F937-C7B1-47D3-B67F-A62EFF666E3E}">
          <x14:id>{1722336B-3201-4508-9195-44E1B983C06C}</x14:id>
        </ext>
      </extLst>
    </cfRule>
  </conditionalFormatting>
  <conditionalFormatting sqref="F11:F22">
    <cfRule type="dataBar" priority="83">
      <dataBar>
        <cfvo type="min"/>
        <cfvo type="max"/>
        <color theme="9" tint="0.79998168889431442"/>
      </dataBar>
      <extLst>
        <ext xmlns:x14="http://schemas.microsoft.com/office/spreadsheetml/2009/9/main" uri="{B025F937-C7B1-47D3-B67F-A62EFF666E3E}">
          <x14:id>{9E361014-849D-4F86-82A4-1004F9D6FE3A}</x14:id>
        </ext>
      </extLst>
    </cfRule>
  </conditionalFormatting>
  <conditionalFormatting sqref="F27:F38">
    <cfRule type="dataBar" priority="41">
      <dataBar>
        <cfvo type="min"/>
        <cfvo type="max"/>
        <color theme="5" tint="0.79998168889431442"/>
      </dataBar>
      <extLst>
        <ext xmlns:x14="http://schemas.microsoft.com/office/spreadsheetml/2009/9/main" uri="{B025F937-C7B1-47D3-B67F-A62EFF666E3E}">
          <x14:id>{CFC7D267-2B1D-401A-B9FB-8B3D30CFCD22}</x14:id>
        </ext>
      </extLst>
    </cfRule>
  </conditionalFormatting>
  <conditionalFormatting sqref="F43:F54">
    <cfRule type="dataBar" priority="7">
      <dataBar>
        <cfvo type="min"/>
        <cfvo type="max"/>
        <color theme="7" tint="0.79998168889431442"/>
      </dataBar>
      <extLst>
        <ext xmlns:x14="http://schemas.microsoft.com/office/spreadsheetml/2009/9/main" uri="{B025F937-C7B1-47D3-B67F-A62EFF666E3E}">
          <x14:id>{4E2828AF-27A9-4296-8E2B-57FFE5549E84}</x14:id>
        </ext>
      </extLst>
    </cfRule>
  </conditionalFormatting>
  <conditionalFormatting sqref="G11:G22">
    <cfRule type="dataBar" priority="79">
      <dataBar>
        <cfvo type="min"/>
        <cfvo type="max"/>
        <color theme="9" tint="0.79998168889431442"/>
      </dataBar>
      <extLst>
        <ext xmlns:x14="http://schemas.microsoft.com/office/spreadsheetml/2009/9/main" uri="{B025F937-C7B1-47D3-B67F-A62EFF666E3E}">
          <x14:id>{07E0F440-52AF-4E8C-8CE8-FE326FF7A622}</x14:id>
        </ext>
      </extLst>
    </cfRule>
  </conditionalFormatting>
  <conditionalFormatting sqref="G27:G38">
    <cfRule type="dataBar" priority="40">
      <dataBar>
        <cfvo type="min"/>
        <cfvo type="max"/>
        <color theme="5" tint="0.79998168889431442"/>
      </dataBar>
      <extLst>
        <ext xmlns:x14="http://schemas.microsoft.com/office/spreadsheetml/2009/9/main" uri="{B025F937-C7B1-47D3-B67F-A62EFF666E3E}">
          <x14:id>{63D736B6-91EA-4407-B8EE-22C2388038A3}</x14:id>
        </ext>
      </extLst>
    </cfRule>
  </conditionalFormatting>
  <conditionalFormatting sqref="G43:G54">
    <cfRule type="dataBar" priority="6">
      <dataBar>
        <cfvo type="min"/>
        <cfvo type="max"/>
        <color theme="7" tint="0.79998168889431442"/>
      </dataBar>
      <extLst>
        <ext xmlns:x14="http://schemas.microsoft.com/office/spreadsheetml/2009/9/main" uri="{B025F937-C7B1-47D3-B67F-A62EFF666E3E}">
          <x14:id>{708A043B-1967-4C45-9D84-BD677A6ECF1A}</x14:id>
        </ext>
      </extLst>
    </cfRule>
  </conditionalFormatting>
  <conditionalFormatting sqref="H11:H22">
    <cfRule type="dataBar" priority="80">
      <dataBar>
        <cfvo type="min"/>
        <cfvo type="max"/>
        <color theme="9" tint="0.79998168889431442"/>
      </dataBar>
      <extLst>
        <ext xmlns:x14="http://schemas.microsoft.com/office/spreadsheetml/2009/9/main" uri="{B025F937-C7B1-47D3-B67F-A62EFF666E3E}">
          <x14:id>{BDA769FB-FC16-4850-8D04-BFA3BD76E8FD}</x14:id>
        </ext>
      </extLst>
    </cfRule>
  </conditionalFormatting>
  <conditionalFormatting sqref="H28:H38">
    <cfRule type="dataBar" priority="39">
      <dataBar>
        <cfvo type="min"/>
        <cfvo type="max"/>
        <color theme="5" tint="0.79998168889431442"/>
      </dataBar>
      <extLst>
        <ext xmlns:x14="http://schemas.microsoft.com/office/spreadsheetml/2009/9/main" uri="{B025F937-C7B1-47D3-B67F-A62EFF666E3E}">
          <x14:id>{AE892042-E552-4749-B867-49C3F4262470}</x14:id>
        </ext>
      </extLst>
    </cfRule>
  </conditionalFormatting>
  <conditionalFormatting sqref="H43:H54">
    <cfRule type="dataBar" priority="5">
      <dataBar>
        <cfvo type="min"/>
        <cfvo type="max"/>
        <color theme="5" tint="0.79998168889431442"/>
      </dataBar>
      <extLst>
        <ext xmlns:x14="http://schemas.microsoft.com/office/spreadsheetml/2009/9/main" uri="{B025F937-C7B1-47D3-B67F-A62EFF666E3E}">
          <x14:id>{661EA843-EB8D-483C-BE4E-742E89E1F0E9}</x14:id>
        </ext>
      </extLst>
    </cfRule>
  </conditionalFormatting>
  <conditionalFormatting sqref="I11:I22">
    <cfRule type="dataBar" priority="78">
      <dataBar>
        <cfvo type="min"/>
        <cfvo type="max"/>
        <color theme="9" tint="0.79998168889431442"/>
      </dataBar>
      <extLst>
        <ext xmlns:x14="http://schemas.microsoft.com/office/spreadsheetml/2009/9/main" uri="{B025F937-C7B1-47D3-B67F-A62EFF666E3E}">
          <x14:id>{500F7BF5-1563-4030-A4DC-D0CA0F8782F0}</x14:id>
        </ext>
      </extLst>
    </cfRule>
  </conditionalFormatting>
  <conditionalFormatting sqref="I28:I38">
    <cfRule type="dataBar" priority="38">
      <dataBar>
        <cfvo type="min"/>
        <cfvo type="max"/>
        <color theme="5" tint="0.79998168889431442"/>
      </dataBar>
      <extLst>
        <ext xmlns:x14="http://schemas.microsoft.com/office/spreadsheetml/2009/9/main" uri="{B025F937-C7B1-47D3-B67F-A62EFF666E3E}">
          <x14:id>{B0826F00-145A-476A-B61B-6CBDEEB9ED8C}</x14:id>
        </ext>
      </extLst>
    </cfRule>
  </conditionalFormatting>
  <conditionalFormatting sqref="I43:I54">
    <cfRule type="dataBar" priority="3">
      <dataBar>
        <cfvo type="min"/>
        <cfvo type="max"/>
        <color theme="5" tint="0.79998168889431442"/>
      </dataBar>
      <extLst>
        <ext xmlns:x14="http://schemas.microsoft.com/office/spreadsheetml/2009/9/main" uri="{B025F937-C7B1-47D3-B67F-A62EFF666E3E}">
          <x14:id>{A7203619-C82F-4876-BDA4-F5A129666F0B}</x14:id>
        </ext>
      </extLst>
    </cfRule>
  </conditionalFormatting>
  <conditionalFormatting sqref="J11:J22">
    <cfRule type="dataBar" priority="77">
      <dataBar>
        <cfvo type="min"/>
        <cfvo type="max"/>
        <color theme="9" tint="0.79998168889431442"/>
      </dataBar>
      <extLst>
        <ext xmlns:x14="http://schemas.microsoft.com/office/spreadsheetml/2009/9/main" uri="{B025F937-C7B1-47D3-B67F-A62EFF666E3E}">
          <x14:id>{2B597F86-6501-404F-A4F6-4A46996AB2AF}</x14:id>
        </ext>
      </extLst>
    </cfRule>
  </conditionalFormatting>
  <conditionalFormatting sqref="J27:J38">
    <cfRule type="dataBar" priority="37">
      <dataBar>
        <cfvo type="min"/>
        <cfvo type="max"/>
        <color theme="5" tint="0.79998168889431442"/>
      </dataBar>
      <extLst>
        <ext xmlns:x14="http://schemas.microsoft.com/office/spreadsheetml/2009/9/main" uri="{B025F937-C7B1-47D3-B67F-A62EFF666E3E}">
          <x14:id>{9417F897-B7E3-4805-B14A-2A613BF38F97}</x14:id>
        </ext>
      </extLst>
    </cfRule>
  </conditionalFormatting>
  <conditionalFormatting sqref="J43:J54">
    <cfRule type="dataBar" priority="4">
      <dataBar>
        <cfvo type="min"/>
        <cfvo type="max"/>
        <color theme="5" tint="0.79998168889431442"/>
      </dataBar>
      <extLst>
        <ext xmlns:x14="http://schemas.microsoft.com/office/spreadsheetml/2009/9/main" uri="{B025F937-C7B1-47D3-B67F-A62EFF666E3E}">
          <x14:id>{EAA102CE-29B2-433B-A3EA-366568937B40}</x14:id>
        </ext>
      </extLst>
    </cfRule>
  </conditionalFormatting>
  <conditionalFormatting sqref="K11:K22">
    <cfRule type="dataBar" priority="76">
      <dataBar>
        <cfvo type="min"/>
        <cfvo type="max"/>
        <color theme="7" tint="0.79998168889431442"/>
      </dataBar>
      <extLst>
        <ext xmlns:x14="http://schemas.microsoft.com/office/spreadsheetml/2009/9/main" uri="{B025F937-C7B1-47D3-B67F-A62EFF666E3E}">
          <x14:id>{EE8E1EA5-E865-42EB-AF32-C421C3C2DD4E}</x14:id>
        </ext>
      </extLst>
    </cfRule>
  </conditionalFormatting>
  <conditionalFormatting sqref="K27:K38">
    <cfRule type="dataBar" priority="35">
      <dataBar>
        <cfvo type="min"/>
        <cfvo type="max"/>
        <color theme="5" tint="0.79998168889431442"/>
      </dataBar>
      <extLst>
        <ext xmlns:x14="http://schemas.microsoft.com/office/spreadsheetml/2009/9/main" uri="{B025F937-C7B1-47D3-B67F-A62EFF666E3E}">
          <x14:id>{31362AD6-5749-4BB9-A0AA-555CA5E3B087}</x14:id>
        </ext>
      </extLst>
    </cfRule>
  </conditionalFormatting>
  <conditionalFormatting sqref="K43:K54">
    <cfRule type="dataBar" priority="2">
      <dataBar>
        <cfvo type="min"/>
        <cfvo type="max"/>
        <color theme="5" tint="0.79998168889431442"/>
      </dataBar>
      <extLst>
        <ext xmlns:x14="http://schemas.microsoft.com/office/spreadsheetml/2009/9/main" uri="{B025F937-C7B1-47D3-B67F-A62EFF666E3E}">
          <x14:id>{E25BFE35-AB44-4E7B-9F96-212894DB3C80}</x14:id>
        </ext>
      </extLst>
    </cfRule>
  </conditionalFormatting>
  <conditionalFormatting sqref="L11:L22">
    <cfRule type="dataBar" priority="74">
      <dataBar>
        <cfvo type="min"/>
        <cfvo type="max"/>
        <color theme="7" tint="0.79998168889431442"/>
      </dataBar>
      <extLst>
        <ext xmlns:x14="http://schemas.microsoft.com/office/spreadsheetml/2009/9/main" uri="{B025F937-C7B1-47D3-B67F-A62EFF666E3E}">
          <x14:id>{1BCC9A92-56C4-4DB8-8175-2C24E9988199}</x14:id>
        </ext>
      </extLst>
    </cfRule>
  </conditionalFormatting>
  <conditionalFormatting sqref="L27:L38">
    <cfRule type="dataBar" priority="36">
      <dataBar>
        <cfvo type="min"/>
        <cfvo type="max"/>
        <color theme="5" tint="0.79998168889431442"/>
      </dataBar>
      <extLst>
        <ext xmlns:x14="http://schemas.microsoft.com/office/spreadsheetml/2009/9/main" uri="{B025F937-C7B1-47D3-B67F-A62EFF666E3E}">
          <x14:id>{9B8A9EB4-B93F-4DB0-B92A-9CA8D0593050}</x14:id>
        </ext>
      </extLst>
    </cfRule>
  </conditionalFormatting>
  <conditionalFormatting sqref="L43:L54">
    <cfRule type="dataBar" priority="1">
      <dataBar>
        <cfvo type="min"/>
        <cfvo type="max"/>
        <color theme="5" tint="0.79998168889431442"/>
      </dataBar>
      <extLst>
        <ext xmlns:x14="http://schemas.microsoft.com/office/spreadsheetml/2009/9/main" uri="{B025F937-C7B1-47D3-B67F-A62EFF666E3E}">
          <x14:id>{B7D05EC2-3176-4567-A97B-22174BF67054}</x14:id>
        </ext>
      </extLst>
    </cfRule>
  </conditionalFormatting>
  <conditionalFormatting sqref="M11:M22">
    <cfRule type="dataBar" priority="75">
      <dataBar>
        <cfvo type="min"/>
        <cfvo type="max"/>
        <color theme="7" tint="0.79998168889431442"/>
      </dataBar>
      <extLst>
        <ext xmlns:x14="http://schemas.microsoft.com/office/spreadsheetml/2009/9/main" uri="{B025F937-C7B1-47D3-B67F-A62EFF666E3E}">
          <x14:id>{53D4B431-FFAF-4390-BA5A-ED5520E7326E}</x14:id>
        </ext>
      </extLst>
    </cfRule>
  </conditionalFormatting>
  <conditionalFormatting sqref="M27:M38">
    <cfRule type="dataBar" priority="34">
      <dataBar>
        <cfvo type="min"/>
        <cfvo type="max"/>
        <color theme="5" tint="0.79998168889431442"/>
      </dataBar>
      <extLst>
        <ext xmlns:x14="http://schemas.microsoft.com/office/spreadsheetml/2009/9/main" uri="{B025F937-C7B1-47D3-B67F-A62EFF666E3E}">
          <x14:id>{A100C281-C279-490F-9A5A-F5C93EBF5DFB}</x14:id>
        </ext>
      </extLst>
    </cfRule>
  </conditionalFormatting>
  <conditionalFormatting sqref="N11:N22">
    <cfRule type="dataBar" priority="73">
      <dataBar>
        <cfvo type="min"/>
        <cfvo type="max"/>
        <color theme="7" tint="0.79998168889431442"/>
      </dataBar>
      <extLst>
        <ext xmlns:x14="http://schemas.microsoft.com/office/spreadsheetml/2009/9/main" uri="{B025F937-C7B1-47D3-B67F-A62EFF666E3E}">
          <x14:id>{3EAB091F-11A8-4068-AE50-CF3E7964490C}</x14:id>
        </ext>
      </extLst>
    </cfRule>
  </conditionalFormatting>
  <conditionalFormatting sqref="N27:N38">
    <cfRule type="dataBar" priority="33">
      <dataBar>
        <cfvo type="min"/>
        <cfvo type="max"/>
        <color theme="5" tint="0.79998168889431442"/>
      </dataBar>
      <extLst>
        <ext xmlns:x14="http://schemas.microsoft.com/office/spreadsheetml/2009/9/main" uri="{B025F937-C7B1-47D3-B67F-A62EFF666E3E}">
          <x14:id>{856DE2C2-A434-44ED-AFA4-52ECEAD567D6}</x14:id>
        </ext>
      </extLst>
    </cfRule>
  </conditionalFormatting>
  <conditionalFormatting sqref="O11:O22">
    <cfRule type="dataBar" priority="72">
      <dataBar>
        <cfvo type="min"/>
        <cfvo type="max"/>
        <color theme="7" tint="0.79998168889431442"/>
      </dataBar>
      <extLst>
        <ext xmlns:x14="http://schemas.microsoft.com/office/spreadsheetml/2009/9/main" uri="{B025F937-C7B1-47D3-B67F-A62EFF666E3E}">
          <x14:id>{14E2B870-EF76-41F4-ACAA-1706ACE1E624}</x14:id>
        </ext>
      </extLst>
    </cfRule>
  </conditionalFormatting>
  <conditionalFormatting sqref="O27:O38">
    <cfRule type="dataBar" priority="30">
      <dataBar>
        <cfvo type="min"/>
        <cfvo type="max"/>
        <color theme="5" tint="0.79998168889431442"/>
      </dataBar>
      <extLst>
        <ext xmlns:x14="http://schemas.microsoft.com/office/spreadsheetml/2009/9/main" uri="{B025F937-C7B1-47D3-B67F-A62EFF666E3E}">
          <x14:id>{D72F001F-549B-47B0-9F75-DDFBD07BDA61}</x14:id>
        </ext>
      </extLst>
    </cfRule>
  </conditionalFormatting>
  <conditionalFormatting sqref="P12:P22">
    <cfRule type="dataBar" priority="71">
      <dataBar>
        <cfvo type="min"/>
        <cfvo type="max"/>
        <color theme="7" tint="0.79998168889431442"/>
      </dataBar>
      <extLst>
        <ext xmlns:x14="http://schemas.microsoft.com/office/spreadsheetml/2009/9/main" uri="{B025F937-C7B1-47D3-B67F-A62EFF666E3E}">
          <x14:id>{12A26B67-08CD-494D-8452-C4D866902745}</x14:id>
        </ext>
      </extLst>
    </cfRule>
  </conditionalFormatting>
  <conditionalFormatting sqref="P27:P38">
    <cfRule type="dataBar" priority="28">
      <dataBar>
        <cfvo type="min"/>
        <cfvo type="max"/>
        <color theme="5" tint="0.79998168889431442"/>
      </dataBar>
      <extLst>
        <ext xmlns:x14="http://schemas.microsoft.com/office/spreadsheetml/2009/9/main" uri="{B025F937-C7B1-47D3-B67F-A62EFF666E3E}">
          <x14:id>{7C075044-2BDF-4E2F-AF59-94C5AF8C16B7}</x14:id>
        </ext>
      </extLst>
    </cfRule>
  </conditionalFormatting>
  <conditionalFormatting sqref="Q12:Q22">
    <cfRule type="dataBar" priority="70">
      <dataBar>
        <cfvo type="min"/>
        <cfvo type="max"/>
        <color theme="7" tint="0.79998168889431442"/>
      </dataBar>
      <extLst>
        <ext xmlns:x14="http://schemas.microsoft.com/office/spreadsheetml/2009/9/main" uri="{B025F937-C7B1-47D3-B67F-A62EFF666E3E}">
          <x14:id>{47F2E811-453A-4AC9-87A9-7B13350E43BD}</x14:id>
        </ext>
      </extLst>
    </cfRule>
  </conditionalFormatting>
  <conditionalFormatting sqref="Q27:Q38">
    <cfRule type="dataBar" priority="29">
      <dataBar>
        <cfvo type="min"/>
        <cfvo type="max"/>
        <color theme="5" tint="0.79998168889431442"/>
      </dataBar>
      <extLst>
        <ext xmlns:x14="http://schemas.microsoft.com/office/spreadsheetml/2009/9/main" uri="{B025F937-C7B1-47D3-B67F-A62EFF666E3E}">
          <x14:id>{AA1EF1DB-D557-4059-A50A-3D171915A77B}</x14:id>
        </ext>
      </extLst>
    </cfRule>
  </conditionalFormatting>
  <conditionalFormatting sqref="R11:R22">
    <cfRule type="dataBar" priority="69">
      <dataBar>
        <cfvo type="min"/>
        <cfvo type="max"/>
        <color theme="7" tint="0.79998168889431442"/>
      </dataBar>
      <extLst>
        <ext xmlns:x14="http://schemas.microsoft.com/office/spreadsheetml/2009/9/main" uri="{B025F937-C7B1-47D3-B67F-A62EFF666E3E}">
          <x14:id>{AB5DBEBE-6C00-4475-ACCE-D6BE03F65CC8}</x14:id>
        </ext>
      </extLst>
    </cfRule>
  </conditionalFormatting>
  <conditionalFormatting sqref="R27:R38">
    <cfRule type="dataBar" priority="27">
      <dataBar>
        <cfvo type="min"/>
        <cfvo type="max"/>
        <color theme="5" tint="0.79998168889431442"/>
      </dataBar>
      <extLst>
        <ext xmlns:x14="http://schemas.microsoft.com/office/spreadsheetml/2009/9/main" uri="{B025F937-C7B1-47D3-B67F-A62EFF666E3E}">
          <x14:id>{360A269C-1144-4393-8CBD-1B31E46F6155}</x14:id>
        </ext>
      </extLst>
    </cfRule>
  </conditionalFormatting>
  <conditionalFormatting sqref="S11:S22">
    <cfRule type="dataBar" priority="67">
      <dataBar>
        <cfvo type="min"/>
        <cfvo type="max"/>
        <color theme="7" tint="0.79998168889431442"/>
      </dataBar>
      <extLst>
        <ext xmlns:x14="http://schemas.microsoft.com/office/spreadsheetml/2009/9/main" uri="{B025F937-C7B1-47D3-B67F-A62EFF666E3E}">
          <x14:id>{3B1D723D-1FDC-4686-BA18-D4FF5678062D}</x14:id>
        </ext>
      </extLst>
    </cfRule>
  </conditionalFormatting>
  <conditionalFormatting sqref="S27:S38">
    <cfRule type="dataBar" priority="26">
      <dataBar>
        <cfvo type="min"/>
        <cfvo type="max"/>
        <color theme="5" tint="0.79998168889431442"/>
      </dataBar>
      <extLst>
        <ext xmlns:x14="http://schemas.microsoft.com/office/spreadsheetml/2009/9/main" uri="{B025F937-C7B1-47D3-B67F-A62EFF666E3E}">
          <x14:id>{33086667-7FF0-4803-9072-B148A345EFFA}</x14:id>
        </ext>
      </extLst>
    </cfRule>
  </conditionalFormatting>
  <conditionalFormatting sqref="T11:T22">
    <cfRule type="dataBar" priority="68">
      <dataBar>
        <cfvo type="min"/>
        <cfvo type="max"/>
        <color theme="7" tint="0.79998168889431442"/>
      </dataBar>
      <extLst>
        <ext xmlns:x14="http://schemas.microsoft.com/office/spreadsheetml/2009/9/main" uri="{B025F937-C7B1-47D3-B67F-A62EFF666E3E}">
          <x14:id>{D91595C4-3587-466C-B9DB-776D5D8D88B5}</x14:id>
        </ext>
      </extLst>
    </cfRule>
  </conditionalFormatting>
  <conditionalFormatting sqref="T27:T38">
    <cfRule type="dataBar" priority="25">
      <dataBar>
        <cfvo type="min"/>
        <cfvo type="max"/>
        <color theme="5" tint="0.79998168889431442"/>
      </dataBar>
      <extLst>
        <ext xmlns:x14="http://schemas.microsoft.com/office/spreadsheetml/2009/9/main" uri="{B025F937-C7B1-47D3-B67F-A62EFF666E3E}">
          <x14:id>{6E77EAA5-0B23-4B69-8BA8-6B9FCAF2B374}</x14:id>
        </ext>
      </extLst>
    </cfRule>
  </conditionalFormatting>
  <conditionalFormatting sqref="U11:U22">
    <cfRule type="dataBar" priority="66">
      <dataBar>
        <cfvo type="min"/>
        <cfvo type="max"/>
        <color theme="7" tint="0.79998168889431442"/>
      </dataBar>
      <extLst>
        <ext xmlns:x14="http://schemas.microsoft.com/office/spreadsheetml/2009/9/main" uri="{B025F937-C7B1-47D3-B67F-A62EFF666E3E}">
          <x14:id>{B1CD621C-5D42-4233-BB9B-352087ED1FBF}</x14:id>
        </ext>
      </extLst>
    </cfRule>
  </conditionalFormatting>
  <conditionalFormatting sqref="U27:U38">
    <cfRule type="dataBar" priority="23">
      <dataBar>
        <cfvo type="min"/>
        <cfvo type="max"/>
        <color theme="5" tint="0.79998168889431442"/>
      </dataBar>
      <extLst>
        <ext xmlns:x14="http://schemas.microsoft.com/office/spreadsheetml/2009/9/main" uri="{B025F937-C7B1-47D3-B67F-A62EFF666E3E}">
          <x14:id>{FBCA10C0-F980-4373-AA0A-4534E4880430}</x14:id>
        </ext>
      </extLst>
    </cfRule>
  </conditionalFormatting>
  <conditionalFormatting sqref="V11:V22">
    <cfRule type="dataBar" priority="65">
      <dataBar>
        <cfvo type="min"/>
        <cfvo type="max"/>
        <color theme="7" tint="0.79998168889431442"/>
      </dataBar>
      <extLst>
        <ext xmlns:x14="http://schemas.microsoft.com/office/spreadsheetml/2009/9/main" uri="{B025F937-C7B1-47D3-B67F-A62EFF666E3E}">
          <x14:id>{54E4F2CA-605B-4CCB-A6BB-BB0E731D724D}</x14:id>
        </ext>
      </extLst>
    </cfRule>
  </conditionalFormatting>
  <conditionalFormatting sqref="V27:V38">
    <cfRule type="dataBar" priority="24">
      <dataBar>
        <cfvo type="min"/>
        <cfvo type="max"/>
        <color theme="5" tint="0.79998168889431442"/>
      </dataBar>
      <extLst>
        <ext xmlns:x14="http://schemas.microsoft.com/office/spreadsheetml/2009/9/main" uri="{B025F937-C7B1-47D3-B67F-A62EFF666E3E}">
          <x14:id>{16F50CF9-CA40-4564-896B-76559BA00956}</x14:id>
        </ext>
      </extLst>
    </cfRule>
  </conditionalFormatting>
  <conditionalFormatting sqref="W12:W22">
    <cfRule type="dataBar" priority="60">
      <dataBar>
        <cfvo type="min"/>
        <cfvo type="max"/>
        <color theme="7" tint="0.79998168889431442"/>
      </dataBar>
      <extLst>
        <ext xmlns:x14="http://schemas.microsoft.com/office/spreadsheetml/2009/9/main" uri="{B025F937-C7B1-47D3-B67F-A62EFF666E3E}">
          <x14:id>{82B4A6B9-B838-4666-9338-B363690AD28F}</x14:id>
        </ext>
      </extLst>
    </cfRule>
  </conditionalFormatting>
  <conditionalFormatting sqref="W27:W38">
    <cfRule type="dataBar" priority="22">
      <dataBar>
        <cfvo type="min"/>
        <cfvo type="max"/>
        <color theme="5" tint="0.79998168889431442"/>
      </dataBar>
      <extLst>
        <ext xmlns:x14="http://schemas.microsoft.com/office/spreadsheetml/2009/9/main" uri="{B025F937-C7B1-47D3-B67F-A62EFF666E3E}">
          <x14:id>{6EE868C1-CE26-4865-8D2C-4F376F40263B}</x14:id>
        </ext>
      </extLst>
    </cfRule>
  </conditionalFormatting>
  <conditionalFormatting sqref="X12:X22">
    <cfRule type="dataBar" priority="59">
      <dataBar>
        <cfvo type="min"/>
        <cfvo type="max"/>
        <color theme="7" tint="0.79998168889431442"/>
      </dataBar>
      <extLst>
        <ext xmlns:x14="http://schemas.microsoft.com/office/spreadsheetml/2009/9/main" uri="{B025F937-C7B1-47D3-B67F-A62EFF666E3E}">
          <x14:id>{6F1F0DAC-B99A-409F-93F7-8DF9135C3CA0}</x14:id>
        </ext>
      </extLst>
    </cfRule>
  </conditionalFormatting>
  <conditionalFormatting sqref="X27:X38">
    <cfRule type="dataBar" priority="21">
      <dataBar>
        <cfvo type="min"/>
        <cfvo type="max"/>
        <color theme="5" tint="0.79998168889431442"/>
      </dataBar>
      <extLst>
        <ext xmlns:x14="http://schemas.microsoft.com/office/spreadsheetml/2009/9/main" uri="{B025F937-C7B1-47D3-B67F-A62EFF666E3E}">
          <x14:id>{0476A585-6E82-43B3-8CA8-495AFCB3A0B8}</x14:id>
        </ext>
      </extLst>
    </cfRule>
  </conditionalFormatting>
  <conditionalFormatting sqref="Y11:Y22">
    <cfRule type="dataBar" priority="58">
      <dataBar>
        <cfvo type="min"/>
        <cfvo type="max"/>
        <color theme="7" tint="0.79998168889431442"/>
      </dataBar>
      <extLst>
        <ext xmlns:x14="http://schemas.microsoft.com/office/spreadsheetml/2009/9/main" uri="{B025F937-C7B1-47D3-B67F-A62EFF666E3E}">
          <x14:id>{875355DC-C03B-442E-82E1-C06D8C207EC0}</x14:id>
        </ext>
      </extLst>
    </cfRule>
  </conditionalFormatting>
  <conditionalFormatting sqref="Z11:Z22">
    <cfRule type="dataBar" priority="56">
      <dataBar>
        <cfvo type="min"/>
        <cfvo type="max"/>
        <color theme="7" tint="0.79998168889431442"/>
      </dataBar>
      <extLst>
        <ext xmlns:x14="http://schemas.microsoft.com/office/spreadsheetml/2009/9/main" uri="{B025F937-C7B1-47D3-B67F-A62EFF666E3E}">
          <x14:id>{9A85CD7A-3385-4B70-9D2C-FEDFA94F47C0}</x14:id>
        </ext>
      </extLst>
    </cfRule>
  </conditionalFormatting>
  <conditionalFormatting sqref="AA11:AA22">
    <cfRule type="dataBar" priority="57">
      <dataBar>
        <cfvo type="min"/>
        <cfvo type="max"/>
        <color theme="7" tint="0.79998168889431442"/>
      </dataBar>
      <extLst>
        <ext xmlns:x14="http://schemas.microsoft.com/office/spreadsheetml/2009/9/main" uri="{B025F937-C7B1-47D3-B67F-A62EFF666E3E}">
          <x14:id>{E52F03FE-801F-4BD8-B839-17FE784FEA3D}</x14:id>
        </ext>
      </extLst>
    </cfRule>
  </conditionalFormatting>
  <conditionalFormatting sqref="AB11:AB22">
    <cfRule type="dataBar" priority="55">
      <dataBar>
        <cfvo type="min"/>
        <cfvo type="max"/>
        <color theme="7" tint="0.79998168889431442"/>
      </dataBar>
      <extLst>
        <ext xmlns:x14="http://schemas.microsoft.com/office/spreadsheetml/2009/9/main" uri="{B025F937-C7B1-47D3-B67F-A62EFF666E3E}">
          <x14:id>{338D6393-50D1-4876-8579-E056A5F42C59}</x14:id>
        </ext>
      </extLst>
    </cfRule>
  </conditionalFormatting>
  <conditionalFormatting sqref="AC11:AC22">
    <cfRule type="dataBar" priority="54">
      <dataBar>
        <cfvo type="min"/>
        <cfvo type="max"/>
        <color theme="7" tint="0.79998168889431442"/>
      </dataBar>
      <extLst>
        <ext xmlns:x14="http://schemas.microsoft.com/office/spreadsheetml/2009/9/main" uri="{B025F937-C7B1-47D3-B67F-A62EFF666E3E}">
          <x14:id>{B8816728-FA96-480E-A743-A35627DCC475}</x14:id>
        </ext>
      </extLst>
    </cfRule>
  </conditionalFormatting>
  <conditionalFormatting sqref="AD12:AD22">
    <cfRule type="dataBar" priority="53">
      <dataBar>
        <cfvo type="min"/>
        <cfvo type="max"/>
        <color theme="7" tint="0.79998168889431442"/>
      </dataBar>
      <extLst>
        <ext xmlns:x14="http://schemas.microsoft.com/office/spreadsheetml/2009/9/main" uri="{B025F937-C7B1-47D3-B67F-A62EFF666E3E}">
          <x14:id>{877F9C2B-EAE7-45A8-9AD1-1FA7CF5F978F}</x14:id>
        </ext>
      </extLst>
    </cfRule>
  </conditionalFormatting>
  <conditionalFormatting sqref="AE12:AE22">
    <cfRule type="dataBar" priority="52">
      <dataBar>
        <cfvo type="min"/>
        <cfvo type="max"/>
        <color theme="7" tint="0.79998168889431442"/>
      </dataBar>
      <extLst>
        <ext xmlns:x14="http://schemas.microsoft.com/office/spreadsheetml/2009/9/main" uri="{B025F937-C7B1-47D3-B67F-A62EFF666E3E}">
          <x14:id>{65325E52-29A2-474C-AC03-C5F4B0420F93}</x14:id>
        </ext>
      </extLst>
    </cfRule>
  </conditionalFormatting>
  <conditionalFormatting sqref="AF11:AF22">
    <cfRule type="dataBar" priority="51">
      <dataBar>
        <cfvo type="min"/>
        <cfvo type="max"/>
        <color theme="7" tint="0.79998168889431442"/>
      </dataBar>
      <extLst>
        <ext xmlns:x14="http://schemas.microsoft.com/office/spreadsheetml/2009/9/main" uri="{B025F937-C7B1-47D3-B67F-A62EFF666E3E}">
          <x14:id>{93596110-D09B-40B2-8DF2-961E4F73FDD8}</x14:id>
        </ext>
      </extLst>
    </cfRule>
  </conditionalFormatting>
  <conditionalFormatting sqref="AG11:AG22">
    <cfRule type="dataBar" priority="49">
      <dataBar>
        <cfvo type="min"/>
        <cfvo type="max"/>
        <color theme="7" tint="0.79998168889431442"/>
      </dataBar>
      <extLst>
        <ext xmlns:x14="http://schemas.microsoft.com/office/spreadsheetml/2009/9/main" uri="{B025F937-C7B1-47D3-B67F-A62EFF666E3E}">
          <x14:id>{BE91A183-5030-42F9-9953-31A0DBE2E1E5}</x14:id>
        </ext>
      </extLst>
    </cfRule>
  </conditionalFormatting>
  <conditionalFormatting sqref="AH11:AH22">
    <cfRule type="dataBar" priority="50">
      <dataBar>
        <cfvo type="min"/>
        <cfvo type="max"/>
        <color theme="7" tint="0.79998168889431442"/>
      </dataBar>
      <extLst>
        <ext xmlns:x14="http://schemas.microsoft.com/office/spreadsheetml/2009/9/main" uri="{B025F937-C7B1-47D3-B67F-A62EFF666E3E}">
          <x14:id>{A53809CB-F9CB-4575-8914-D40D48D54BE1}</x14:id>
        </ext>
      </extLst>
    </cfRule>
  </conditionalFormatting>
  <conditionalFormatting sqref="AI11:AI22">
    <cfRule type="dataBar" priority="48">
      <dataBar>
        <cfvo type="min"/>
        <cfvo type="max"/>
        <color theme="7" tint="0.79998168889431442"/>
      </dataBar>
      <extLst>
        <ext xmlns:x14="http://schemas.microsoft.com/office/spreadsheetml/2009/9/main" uri="{B025F937-C7B1-47D3-B67F-A62EFF666E3E}">
          <x14:id>{0A00E98D-52FD-4935-931F-D13F016F4C15}</x14:id>
        </ext>
      </extLst>
    </cfRule>
  </conditionalFormatting>
  <conditionalFormatting sqref="AJ11:AJ22">
    <cfRule type="dataBar" priority="47">
      <dataBar>
        <cfvo type="min"/>
        <cfvo type="max"/>
        <color theme="7" tint="0.79998168889431442"/>
      </dataBar>
      <extLst>
        <ext xmlns:x14="http://schemas.microsoft.com/office/spreadsheetml/2009/9/main" uri="{B025F937-C7B1-47D3-B67F-A62EFF666E3E}">
          <x14:id>{B14EA24F-CA0A-470F-A488-E4C6A9899407}</x14:id>
        </ext>
      </extLst>
    </cfRule>
  </conditionalFormatting>
  <conditionalFormatting sqref="AK12:AK22">
    <cfRule type="dataBar" priority="46">
      <dataBar>
        <cfvo type="min"/>
        <cfvo type="max"/>
        <color theme="7" tint="0.79998168889431442"/>
      </dataBar>
      <extLst>
        <ext xmlns:x14="http://schemas.microsoft.com/office/spreadsheetml/2009/9/main" uri="{B025F937-C7B1-47D3-B67F-A62EFF666E3E}">
          <x14:id>{41D416A8-F37D-4185-83D1-9B48F10FAAE6}</x14:id>
        </ext>
      </extLst>
    </cfRule>
  </conditionalFormatting>
  <conditionalFormatting sqref="AL12:AL22">
    <cfRule type="dataBar" priority="45">
      <dataBar>
        <cfvo type="min"/>
        <cfvo type="max"/>
        <color theme="7" tint="0.79998168889431442"/>
      </dataBar>
      <extLst>
        <ext xmlns:x14="http://schemas.microsoft.com/office/spreadsheetml/2009/9/main" uri="{B025F937-C7B1-47D3-B67F-A62EFF666E3E}">
          <x14:id>{07E6163E-A237-4C35-B098-17595B0EEA28}</x14:id>
        </ext>
      </extLst>
    </cfRule>
  </conditionalFormatting>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8015F6A5-7885-406D-A664-132CD4CBA470}">
            <x14:dataBar minLength="0" maxLength="100" gradient="0">
              <x14:cfvo type="min"/>
              <x14:cfvo type="max"/>
              <x14:negativeFillColor rgb="FFFF0000"/>
              <x14:axisColor rgb="FF000000"/>
            </x14:dataBar>
          </x14:cfRule>
          <xm:sqref>C11:C22</xm:sqref>
        </x14:conditionalFormatting>
        <x14:conditionalFormatting xmlns:xm="http://schemas.microsoft.com/office/excel/2006/main">
          <x14:cfRule type="dataBar" id="{491186C0-439F-4ED9-8DC2-52DC14606AF7}">
            <x14:dataBar minLength="0" maxLength="100" gradient="0">
              <x14:cfvo type="min"/>
              <x14:cfvo type="max"/>
              <x14:negativeFillColor rgb="FFFF0000"/>
              <x14:axisColor rgb="FF000000"/>
            </x14:dataBar>
          </x14:cfRule>
          <xm:sqref>C27:C38</xm:sqref>
        </x14:conditionalFormatting>
        <x14:conditionalFormatting xmlns:xm="http://schemas.microsoft.com/office/excel/2006/main">
          <x14:cfRule type="dataBar" id="{14264C59-84AF-4F59-A074-3818F52B1957}">
            <x14:dataBar minLength="0" maxLength="100" gradient="0">
              <x14:cfvo type="min"/>
              <x14:cfvo type="max"/>
              <x14:negativeFillColor rgb="FFFF0000"/>
              <x14:axisColor rgb="FF000000"/>
            </x14:dataBar>
          </x14:cfRule>
          <xm:sqref>C43:C54</xm:sqref>
        </x14:conditionalFormatting>
        <x14:conditionalFormatting xmlns:xm="http://schemas.microsoft.com/office/excel/2006/main">
          <x14:cfRule type="dataBar" id="{64F5C056-C2EF-40A7-8A22-E8E2714FB64D}">
            <x14:dataBar minLength="0" maxLength="100" gradient="0">
              <x14:cfvo type="min"/>
              <x14:cfvo type="max"/>
              <x14:negativeFillColor rgb="FFFF0000"/>
              <x14:axisColor rgb="FF000000"/>
            </x14:dataBar>
          </x14:cfRule>
          <xm:sqref>D11:D22</xm:sqref>
        </x14:conditionalFormatting>
        <x14:conditionalFormatting xmlns:xm="http://schemas.microsoft.com/office/excel/2006/main">
          <x14:cfRule type="dataBar" id="{344C5D09-D000-4D31-ACD3-6819E6CC273C}">
            <x14:dataBar minLength="0" maxLength="100" gradient="0">
              <x14:cfvo type="min"/>
              <x14:cfvo type="max"/>
              <x14:negativeFillColor rgb="FFFF0000"/>
              <x14:axisColor rgb="FF000000"/>
            </x14:dataBar>
          </x14:cfRule>
          <xm:sqref>D27:D38</xm:sqref>
        </x14:conditionalFormatting>
        <x14:conditionalFormatting xmlns:xm="http://schemas.microsoft.com/office/excel/2006/main">
          <x14:cfRule type="dataBar" id="{02FCB185-6DA0-4FBA-B9EA-37DB6D96C525}">
            <x14:dataBar minLength="0" maxLength="100" gradient="0">
              <x14:cfvo type="min"/>
              <x14:cfvo type="max"/>
              <x14:negativeFillColor rgb="FFFF0000"/>
              <x14:axisColor rgb="FF000000"/>
            </x14:dataBar>
          </x14:cfRule>
          <xm:sqref>D43:D54</xm:sqref>
        </x14:conditionalFormatting>
        <x14:conditionalFormatting xmlns:xm="http://schemas.microsoft.com/office/excel/2006/main">
          <x14:cfRule type="dataBar" id="{D4876393-3A79-4DFB-A005-0F7356674930}">
            <x14:dataBar minLength="0" maxLength="100" gradient="0">
              <x14:cfvo type="min"/>
              <x14:cfvo type="max"/>
              <x14:negativeFillColor rgb="FFFF0000"/>
              <x14:axisColor rgb="FF000000"/>
            </x14:dataBar>
          </x14:cfRule>
          <xm:sqref>E11:E22</xm:sqref>
        </x14:conditionalFormatting>
        <x14:conditionalFormatting xmlns:xm="http://schemas.microsoft.com/office/excel/2006/main">
          <x14:cfRule type="dataBar" id="{2157CEE9-F5E4-4E54-BC8C-E69CFB88DAC5}">
            <x14:dataBar minLength="0" maxLength="100" gradient="0">
              <x14:cfvo type="min"/>
              <x14:cfvo type="max"/>
              <x14:negativeFillColor rgb="FFFF0000"/>
              <x14:axisColor rgb="FF000000"/>
            </x14:dataBar>
          </x14:cfRule>
          <xm:sqref>E27:E38</xm:sqref>
        </x14:conditionalFormatting>
        <x14:conditionalFormatting xmlns:xm="http://schemas.microsoft.com/office/excel/2006/main">
          <x14:cfRule type="dataBar" id="{1722336B-3201-4508-9195-44E1B983C06C}">
            <x14:dataBar minLength="0" maxLength="100" gradient="0">
              <x14:cfvo type="min"/>
              <x14:cfvo type="max"/>
              <x14:negativeFillColor rgb="FFFF0000"/>
              <x14:axisColor rgb="FF000000"/>
            </x14:dataBar>
          </x14:cfRule>
          <xm:sqref>E43:E54</xm:sqref>
        </x14:conditionalFormatting>
        <x14:conditionalFormatting xmlns:xm="http://schemas.microsoft.com/office/excel/2006/main">
          <x14:cfRule type="dataBar" id="{9E361014-849D-4F86-82A4-1004F9D6FE3A}">
            <x14:dataBar minLength="0" maxLength="100" gradient="0">
              <x14:cfvo type="min"/>
              <x14:cfvo type="max"/>
              <x14:negativeFillColor rgb="FFFF0000"/>
              <x14:axisColor rgb="FF000000"/>
            </x14:dataBar>
          </x14:cfRule>
          <xm:sqref>F11:F22</xm:sqref>
        </x14:conditionalFormatting>
        <x14:conditionalFormatting xmlns:xm="http://schemas.microsoft.com/office/excel/2006/main">
          <x14:cfRule type="dataBar" id="{CFC7D267-2B1D-401A-B9FB-8B3D30CFCD22}">
            <x14:dataBar minLength="0" maxLength="100" gradient="0">
              <x14:cfvo type="min"/>
              <x14:cfvo type="max"/>
              <x14:negativeFillColor rgb="FFFF0000"/>
              <x14:axisColor rgb="FF000000"/>
            </x14:dataBar>
          </x14:cfRule>
          <xm:sqref>F27:F38</xm:sqref>
        </x14:conditionalFormatting>
        <x14:conditionalFormatting xmlns:xm="http://schemas.microsoft.com/office/excel/2006/main">
          <x14:cfRule type="dataBar" id="{4E2828AF-27A9-4296-8E2B-57FFE5549E84}">
            <x14:dataBar minLength="0" maxLength="100" gradient="0">
              <x14:cfvo type="min"/>
              <x14:cfvo type="max"/>
              <x14:negativeFillColor rgb="FFFF0000"/>
              <x14:axisColor rgb="FF000000"/>
            </x14:dataBar>
          </x14:cfRule>
          <xm:sqref>F43:F54</xm:sqref>
        </x14:conditionalFormatting>
        <x14:conditionalFormatting xmlns:xm="http://schemas.microsoft.com/office/excel/2006/main">
          <x14:cfRule type="dataBar" id="{07E0F440-52AF-4E8C-8CE8-FE326FF7A622}">
            <x14:dataBar minLength="0" maxLength="100" gradient="0">
              <x14:cfvo type="min"/>
              <x14:cfvo type="max"/>
              <x14:negativeFillColor rgb="FFFF0000"/>
              <x14:axisColor rgb="FF000000"/>
            </x14:dataBar>
          </x14:cfRule>
          <xm:sqref>G11:G22</xm:sqref>
        </x14:conditionalFormatting>
        <x14:conditionalFormatting xmlns:xm="http://schemas.microsoft.com/office/excel/2006/main">
          <x14:cfRule type="dataBar" id="{63D736B6-91EA-4407-B8EE-22C2388038A3}">
            <x14:dataBar minLength="0" maxLength="100" gradient="0">
              <x14:cfvo type="min"/>
              <x14:cfvo type="max"/>
              <x14:negativeFillColor rgb="FFFF0000"/>
              <x14:axisColor rgb="FF000000"/>
            </x14:dataBar>
          </x14:cfRule>
          <xm:sqref>G27:G38</xm:sqref>
        </x14:conditionalFormatting>
        <x14:conditionalFormatting xmlns:xm="http://schemas.microsoft.com/office/excel/2006/main">
          <x14:cfRule type="dataBar" id="{708A043B-1967-4C45-9D84-BD677A6ECF1A}">
            <x14:dataBar minLength="0" maxLength="100" gradient="0">
              <x14:cfvo type="min"/>
              <x14:cfvo type="max"/>
              <x14:negativeFillColor rgb="FFFF0000"/>
              <x14:axisColor rgb="FF000000"/>
            </x14:dataBar>
          </x14:cfRule>
          <xm:sqref>G43:G54</xm:sqref>
        </x14:conditionalFormatting>
        <x14:conditionalFormatting xmlns:xm="http://schemas.microsoft.com/office/excel/2006/main">
          <x14:cfRule type="dataBar" id="{BDA769FB-FC16-4850-8D04-BFA3BD76E8FD}">
            <x14:dataBar minLength="0" maxLength="100" gradient="0">
              <x14:cfvo type="min"/>
              <x14:cfvo type="max"/>
              <x14:negativeFillColor rgb="FFFF0000"/>
              <x14:axisColor rgb="FF000000"/>
            </x14:dataBar>
          </x14:cfRule>
          <xm:sqref>H11:H22</xm:sqref>
        </x14:conditionalFormatting>
        <x14:conditionalFormatting xmlns:xm="http://schemas.microsoft.com/office/excel/2006/main">
          <x14:cfRule type="dataBar" id="{AE892042-E552-4749-B867-49C3F4262470}">
            <x14:dataBar minLength="0" maxLength="100" gradient="0">
              <x14:cfvo type="autoMin"/>
              <x14:cfvo type="autoMax"/>
              <x14:negativeFillColor rgb="FFFF0000"/>
              <x14:axisColor rgb="FF000000"/>
            </x14:dataBar>
          </x14:cfRule>
          <xm:sqref>H28:H38</xm:sqref>
        </x14:conditionalFormatting>
        <x14:conditionalFormatting xmlns:xm="http://schemas.microsoft.com/office/excel/2006/main">
          <x14:cfRule type="dataBar" id="{661EA843-EB8D-483C-BE4E-742E89E1F0E9}">
            <x14:dataBar minLength="0" maxLength="100" gradient="0">
              <x14:cfvo type="min"/>
              <x14:cfvo type="max"/>
              <x14:negativeFillColor rgb="FFFF0000"/>
              <x14:axisColor rgb="FF000000"/>
            </x14:dataBar>
          </x14:cfRule>
          <xm:sqref>H43:H54</xm:sqref>
        </x14:conditionalFormatting>
        <x14:conditionalFormatting xmlns:xm="http://schemas.microsoft.com/office/excel/2006/main">
          <x14:cfRule type="dataBar" id="{500F7BF5-1563-4030-A4DC-D0CA0F8782F0}">
            <x14:dataBar minLength="0" maxLength="100" gradient="0">
              <x14:cfvo type="min"/>
              <x14:cfvo type="max"/>
              <x14:negativeFillColor rgb="FFFF0000"/>
              <x14:axisColor rgb="FF000000"/>
            </x14:dataBar>
          </x14:cfRule>
          <xm:sqref>I11:I22</xm:sqref>
        </x14:conditionalFormatting>
        <x14:conditionalFormatting xmlns:xm="http://schemas.microsoft.com/office/excel/2006/main">
          <x14:cfRule type="dataBar" id="{B0826F00-145A-476A-B61B-6CBDEEB9ED8C}">
            <x14:dataBar minLength="0" maxLength="100" gradient="0">
              <x14:cfvo type="autoMin"/>
              <x14:cfvo type="autoMax"/>
              <x14:negativeFillColor rgb="FFFF0000"/>
              <x14:axisColor rgb="FF000000"/>
            </x14:dataBar>
          </x14:cfRule>
          <xm:sqref>I28:I38</xm:sqref>
        </x14:conditionalFormatting>
        <x14:conditionalFormatting xmlns:xm="http://schemas.microsoft.com/office/excel/2006/main">
          <x14:cfRule type="dataBar" id="{A7203619-C82F-4876-BDA4-F5A129666F0B}">
            <x14:dataBar minLength="0" maxLength="100" gradient="0">
              <x14:cfvo type="min"/>
              <x14:cfvo type="max"/>
              <x14:negativeFillColor rgb="FFFF0000"/>
              <x14:axisColor rgb="FF000000"/>
            </x14:dataBar>
          </x14:cfRule>
          <xm:sqref>I43:I54</xm:sqref>
        </x14:conditionalFormatting>
        <x14:conditionalFormatting xmlns:xm="http://schemas.microsoft.com/office/excel/2006/main">
          <x14:cfRule type="dataBar" id="{2B597F86-6501-404F-A4F6-4A46996AB2AF}">
            <x14:dataBar minLength="0" maxLength="100" gradient="0">
              <x14:cfvo type="min"/>
              <x14:cfvo type="max"/>
              <x14:negativeFillColor rgb="FFFF0000"/>
              <x14:axisColor rgb="FF000000"/>
            </x14:dataBar>
          </x14:cfRule>
          <xm:sqref>J11:J22</xm:sqref>
        </x14:conditionalFormatting>
        <x14:conditionalFormatting xmlns:xm="http://schemas.microsoft.com/office/excel/2006/main">
          <x14:cfRule type="dataBar" id="{9417F897-B7E3-4805-B14A-2A613BF38F97}">
            <x14:dataBar minLength="0" maxLength="100" gradient="0">
              <x14:cfvo type="min"/>
              <x14:cfvo type="max"/>
              <x14:negativeFillColor rgb="FFFF0000"/>
              <x14:axisColor rgb="FF000000"/>
            </x14:dataBar>
          </x14:cfRule>
          <xm:sqref>J27:J38</xm:sqref>
        </x14:conditionalFormatting>
        <x14:conditionalFormatting xmlns:xm="http://schemas.microsoft.com/office/excel/2006/main">
          <x14:cfRule type="dataBar" id="{EAA102CE-29B2-433B-A3EA-366568937B40}">
            <x14:dataBar minLength="0" maxLength="100" gradient="0">
              <x14:cfvo type="min"/>
              <x14:cfvo type="max"/>
              <x14:negativeFillColor rgb="FFFF0000"/>
              <x14:axisColor rgb="FF000000"/>
            </x14:dataBar>
          </x14:cfRule>
          <xm:sqref>J43:J54</xm:sqref>
        </x14:conditionalFormatting>
        <x14:conditionalFormatting xmlns:xm="http://schemas.microsoft.com/office/excel/2006/main">
          <x14:cfRule type="dataBar" id="{EE8E1EA5-E865-42EB-AF32-C421C3C2DD4E}">
            <x14:dataBar minLength="0" maxLength="100" gradient="0">
              <x14:cfvo type="min"/>
              <x14:cfvo type="max"/>
              <x14:negativeFillColor rgb="FFFF0000"/>
              <x14:axisColor rgb="FF000000"/>
            </x14:dataBar>
          </x14:cfRule>
          <xm:sqref>K11:K22</xm:sqref>
        </x14:conditionalFormatting>
        <x14:conditionalFormatting xmlns:xm="http://schemas.microsoft.com/office/excel/2006/main">
          <x14:cfRule type="dataBar" id="{31362AD6-5749-4BB9-A0AA-555CA5E3B087}">
            <x14:dataBar minLength="0" maxLength="100" gradient="0">
              <x14:cfvo type="min"/>
              <x14:cfvo type="max"/>
              <x14:negativeFillColor rgb="FFFF0000"/>
              <x14:axisColor rgb="FF000000"/>
            </x14:dataBar>
          </x14:cfRule>
          <xm:sqref>K27:K38</xm:sqref>
        </x14:conditionalFormatting>
        <x14:conditionalFormatting xmlns:xm="http://schemas.microsoft.com/office/excel/2006/main">
          <x14:cfRule type="dataBar" id="{E25BFE35-AB44-4E7B-9F96-212894DB3C80}">
            <x14:dataBar minLength="0" maxLength="100" gradient="0">
              <x14:cfvo type="min"/>
              <x14:cfvo type="max"/>
              <x14:negativeFillColor rgb="FFFF0000"/>
              <x14:axisColor rgb="FF000000"/>
            </x14:dataBar>
          </x14:cfRule>
          <xm:sqref>K43:K54</xm:sqref>
        </x14:conditionalFormatting>
        <x14:conditionalFormatting xmlns:xm="http://schemas.microsoft.com/office/excel/2006/main">
          <x14:cfRule type="dataBar" id="{1BCC9A92-56C4-4DB8-8175-2C24E9988199}">
            <x14:dataBar minLength="0" maxLength="100" gradient="0">
              <x14:cfvo type="min"/>
              <x14:cfvo type="max"/>
              <x14:negativeFillColor rgb="FFFF0000"/>
              <x14:axisColor rgb="FF000000"/>
            </x14:dataBar>
          </x14:cfRule>
          <xm:sqref>L11:L22</xm:sqref>
        </x14:conditionalFormatting>
        <x14:conditionalFormatting xmlns:xm="http://schemas.microsoft.com/office/excel/2006/main">
          <x14:cfRule type="dataBar" id="{9B8A9EB4-B93F-4DB0-B92A-9CA8D0593050}">
            <x14:dataBar minLength="0" maxLength="100" gradient="0">
              <x14:cfvo type="min"/>
              <x14:cfvo type="max"/>
              <x14:negativeFillColor rgb="FFFF0000"/>
              <x14:axisColor rgb="FF000000"/>
            </x14:dataBar>
          </x14:cfRule>
          <xm:sqref>L27:L38</xm:sqref>
        </x14:conditionalFormatting>
        <x14:conditionalFormatting xmlns:xm="http://schemas.microsoft.com/office/excel/2006/main">
          <x14:cfRule type="dataBar" id="{B7D05EC2-3176-4567-A97B-22174BF67054}">
            <x14:dataBar minLength="0" maxLength="100" gradient="0">
              <x14:cfvo type="min"/>
              <x14:cfvo type="max"/>
              <x14:negativeFillColor rgb="FFFF0000"/>
              <x14:axisColor rgb="FF000000"/>
            </x14:dataBar>
          </x14:cfRule>
          <xm:sqref>L43:L54</xm:sqref>
        </x14:conditionalFormatting>
        <x14:conditionalFormatting xmlns:xm="http://schemas.microsoft.com/office/excel/2006/main">
          <x14:cfRule type="dataBar" id="{53D4B431-FFAF-4390-BA5A-ED5520E7326E}">
            <x14:dataBar minLength="0" maxLength="100" gradient="0">
              <x14:cfvo type="min"/>
              <x14:cfvo type="max"/>
              <x14:negativeFillColor rgb="FFFF0000"/>
              <x14:axisColor rgb="FF000000"/>
            </x14:dataBar>
          </x14:cfRule>
          <xm:sqref>M11:M22</xm:sqref>
        </x14:conditionalFormatting>
        <x14:conditionalFormatting xmlns:xm="http://schemas.microsoft.com/office/excel/2006/main">
          <x14:cfRule type="dataBar" id="{A100C281-C279-490F-9A5A-F5C93EBF5DFB}">
            <x14:dataBar minLength="0" maxLength="100" gradient="0">
              <x14:cfvo type="min"/>
              <x14:cfvo type="max"/>
              <x14:negativeFillColor rgb="FFFF0000"/>
              <x14:axisColor rgb="FF000000"/>
            </x14:dataBar>
          </x14:cfRule>
          <xm:sqref>M27:M38</xm:sqref>
        </x14:conditionalFormatting>
        <x14:conditionalFormatting xmlns:xm="http://schemas.microsoft.com/office/excel/2006/main">
          <x14:cfRule type="dataBar" id="{3EAB091F-11A8-4068-AE50-CF3E7964490C}">
            <x14:dataBar minLength="0" maxLength="100" gradient="0">
              <x14:cfvo type="min"/>
              <x14:cfvo type="max"/>
              <x14:negativeFillColor rgb="FFFF0000"/>
              <x14:axisColor rgb="FF000000"/>
            </x14:dataBar>
          </x14:cfRule>
          <xm:sqref>N11:N22</xm:sqref>
        </x14:conditionalFormatting>
        <x14:conditionalFormatting xmlns:xm="http://schemas.microsoft.com/office/excel/2006/main">
          <x14:cfRule type="dataBar" id="{856DE2C2-A434-44ED-AFA4-52ECEAD567D6}">
            <x14:dataBar minLength="0" maxLength="100" gradient="0">
              <x14:cfvo type="min"/>
              <x14:cfvo type="max"/>
              <x14:negativeFillColor rgb="FFFF0000"/>
              <x14:axisColor rgb="FF000000"/>
            </x14:dataBar>
          </x14:cfRule>
          <xm:sqref>N27:N38</xm:sqref>
        </x14:conditionalFormatting>
        <x14:conditionalFormatting xmlns:xm="http://schemas.microsoft.com/office/excel/2006/main">
          <x14:cfRule type="dataBar" id="{14E2B870-EF76-41F4-ACAA-1706ACE1E624}">
            <x14:dataBar minLength="0" maxLength="100" gradient="0">
              <x14:cfvo type="min"/>
              <x14:cfvo type="max"/>
              <x14:negativeFillColor rgb="FFFF0000"/>
              <x14:axisColor rgb="FF000000"/>
            </x14:dataBar>
          </x14:cfRule>
          <xm:sqref>O11:O22</xm:sqref>
        </x14:conditionalFormatting>
        <x14:conditionalFormatting xmlns:xm="http://schemas.microsoft.com/office/excel/2006/main">
          <x14:cfRule type="dataBar" id="{D72F001F-549B-47B0-9F75-DDFBD07BDA61}">
            <x14:dataBar minLength="0" maxLength="100" gradient="0">
              <x14:cfvo type="min"/>
              <x14:cfvo type="max"/>
              <x14:negativeFillColor rgb="FFFF0000"/>
              <x14:axisColor rgb="FF000000"/>
            </x14:dataBar>
          </x14:cfRule>
          <xm:sqref>O27:O38</xm:sqref>
        </x14:conditionalFormatting>
        <x14:conditionalFormatting xmlns:xm="http://schemas.microsoft.com/office/excel/2006/main">
          <x14:cfRule type="dataBar" id="{12A26B67-08CD-494D-8452-C4D866902745}">
            <x14:dataBar minLength="0" maxLength="100" gradient="0">
              <x14:cfvo type="autoMin"/>
              <x14:cfvo type="autoMax"/>
              <x14:negativeFillColor rgb="FFFF0000"/>
              <x14:axisColor rgb="FF000000"/>
            </x14:dataBar>
          </x14:cfRule>
          <xm:sqref>P12:P22</xm:sqref>
        </x14:conditionalFormatting>
        <x14:conditionalFormatting xmlns:xm="http://schemas.microsoft.com/office/excel/2006/main">
          <x14:cfRule type="dataBar" id="{7C075044-2BDF-4E2F-AF59-94C5AF8C16B7}">
            <x14:dataBar minLength="0" maxLength="100" gradient="0">
              <x14:cfvo type="min"/>
              <x14:cfvo type="max"/>
              <x14:negativeFillColor rgb="FFFF0000"/>
              <x14:axisColor rgb="FF000000"/>
            </x14:dataBar>
          </x14:cfRule>
          <xm:sqref>P27:P38</xm:sqref>
        </x14:conditionalFormatting>
        <x14:conditionalFormatting xmlns:xm="http://schemas.microsoft.com/office/excel/2006/main">
          <x14:cfRule type="dataBar" id="{47F2E811-453A-4AC9-87A9-7B13350E43BD}">
            <x14:dataBar minLength="0" maxLength="100" gradient="0">
              <x14:cfvo type="autoMin"/>
              <x14:cfvo type="autoMax"/>
              <x14:negativeFillColor rgb="FFFF0000"/>
              <x14:axisColor rgb="FF000000"/>
            </x14:dataBar>
          </x14:cfRule>
          <xm:sqref>Q12:Q22</xm:sqref>
        </x14:conditionalFormatting>
        <x14:conditionalFormatting xmlns:xm="http://schemas.microsoft.com/office/excel/2006/main">
          <x14:cfRule type="dataBar" id="{AA1EF1DB-D557-4059-A50A-3D171915A77B}">
            <x14:dataBar minLength="0" maxLength="100" gradient="0">
              <x14:cfvo type="min"/>
              <x14:cfvo type="max"/>
              <x14:negativeFillColor rgb="FFFF0000"/>
              <x14:axisColor rgb="FF000000"/>
            </x14:dataBar>
          </x14:cfRule>
          <xm:sqref>Q27:Q38</xm:sqref>
        </x14:conditionalFormatting>
        <x14:conditionalFormatting xmlns:xm="http://schemas.microsoft.com/office/excel/2006/main">
          <x14:cfRule type="dataBar" id="{AB5DBEBE-6C00-4475-ACCE-D6BE03F65CC8}">
            <x14:dataBar minLength="0" maxLength="100" gradient="0">
              <x14:cfvo type="min"/>
              <x14:cfvo type="max"/>
              <x14:negativeFillColor rgb="FFFF0000"/>
              <x14:axisColor rgb="FF000000"/>
            </x14:dataBar>
          </x14:cfRule>
          <xm:sqref>R11:R22</xm:sqref>
        </x14:conditionalFormatting>
        <x14:conditionalFormatting xmlns:xm="http://schemas.microsoft.com/office/excel/2006/main">
          <x14:cfRule type="dataBar" id="{360A269C-1144-4393-8CBD-1B31E46F6155}">
            <x14:dataBar minLength="0" maxLength="100" gradient="0">
              <x14:cfvo type="min"/>
              <x14:cfvo type="max"/>
              <x14:negativeFillColor rgb="FFFF0000"/>
              <x14:axisColor rgb="FF000000"/>
            </x14:dataBar>
          </x14:cfRule>
          <xm:sqref>R27:R38</xm:sqref>
        </x14:conditionalFormatting>
        <x14:conditionalFormatting xmlns:xm="http://schemas.microsoft.com/office/excel/2006/main">
          <x14:cfRule type="dataBar" id="{3B1D723D-1FDC-4686-BA18-D4FF5678062D}">
            <x14:dataBar minLength="0" maxLength="100" gradient="0">
              <x14:cfvo type="min"/>
              <x14:cfvo type="max"/>
              <x14:negativeFillColor rgb="FFFF0000"/>
              <x14:axisColor rgb="FF000000"/>
            </x14:dataBar>
          </x14:cfRule>
          <xm:sqref>S11:S22</xm:sqref>
        </x14:conditionalFormatting>
        <x14:conditionalFormatting xmlns:xm="http://schemas.microsoft.com/office/excel/2006/main">
          <x14:cfRule type="dataBar" id="{33086667-7FF0-4803-9072-B148A345EFFA}">
            <x14:dataBar minLength="0" maxLength="100" gradient="0">
              <x14:cfvo type="min"/>
              <x14:cfvo type="max"/>
              <x14:negativeFillColor rgb="FFFF0000"/>
              <x14:axisColor rgb="FF000000"/>
            </x14:dataBar>
          </x14:cfRule>
          <xm:sqref>S27:S38</xm:sqref>
        </x14:conditionalFormatting>
        <x14:conditionalFormatting xmlns:xm="http://schemas.microsoft.com/office/excel/2006/main">
          <x14:cfRule type="dataBar" id="{D91595C4-3587-466C-B9DB-776D5D8D88B5}">
            <x14:dataBar minLength="0" maxLength="100" gradient="0">
              <x14:cfvo type="min"/>
              <x14:cfvo type="max"/>
              <x14:negativeFillColor rgb="FFFF0000"/>
              <x14:axisColor rgb="FF000000"/>
            </x14:dataBar>
          </x14:cfRule>
          <xm:sqref>T11:T22</xm:sqref>
        </x14:conditionalFormatting>
        <x14:conditionalFormatting xmlns:xm="http://schemas.microsoft.com/office/excel/2006/main">
          <x14:cfRule type="dataBar" id="{6E77EAA5-0B23-4B69-8BA8-6B9FCAF2B374}">
            <x14:dataBar minLength="0" maxLength="100" gradient="0">
              <x14:cfvo type="min"/>
              <x14:cfvo type="max"/>
              <x14:negativeFillColor rgb="FFFF0000"/>
              <x14:axisColor rgb="FF000000"/>
            </x14:dataBar>
          </x14:cfRule>
          <xm:sqref>T27:T38</xm:sqref>
        </x14:conditionalFormatting>
        <x14:conditionalFormatting xmlns:xm="http://schemas.microsoft.com/office/excel/2006/main">
          <x14:cfRule type="dataBar" id="{B1CD621C-5D42-4233-BB9B-352087ED1FBF}">
            <x14:dataBar minLength="0" maxLength="100" gradient="0">
              <x14:cfvo type="min"/>
              <x14:cfvo type="max"/>
              <x14:negativeFillColor rgb="FFFF0000"/>
              <x14:axisColor rgb="FF000000"/>
            </x14:dataBar>
          </x14:cfRule>
          <xm:sqref>U11:U22</xm:sqref>
        </x14:conditionalFormatting>
        <x14:conditionalFormatting xmlns:xm="http://schemas.microsoft.com/office/excel/2006/main">
          <x14:cfRule type="dataBar" id="{FBCA10C0-F980-4373-AA0A-4534E4880430}">
            <x14:dataBar minLength="0" maxLength="100" gradient="0">
              <x14:cfvo type="min"/>
              <x14:cfvo type="max"/>
              <x14:negativeFillColor rgb="FFFF0000"/>
              <x14:axisColor rgb="FF000000"/>
            </x14:dataBar>
          </x14:cfRule>
          <xm:sqref>U27:U38</xm:sqref>
        </x14:conditionalFormatting>
        <x14:conditionalFormatting xmlns:xm="http://schemas.microsoft.com/office/excel/2006/main">
          <x14:cfRule type="dataBar" id="{54E4F2CA-605B-4CCB-A6BB-BB0E731D724D}">
            <x14:dataBar minLength="0" maxLength="100" gradient="0">
              <x14:cfvo type="min"/>
              <x14:cfvo type="max"/>
              <x14:negativeFillColor rgb="FFFF0000"/>
              <x14:axisColor rgb="FF000000"/>
            </x14:dataBar>
          </x14:cfRule>
          <xm:sqref>V11:V22</xm:sqref>
        </x14:conditionalFormatting>
        <x14:conditionalFormatting xmlns:xm="http://schemas.microsoft.com/office/excel/2006/main">
          <x14:cfRule type="dataBar" id="{16F50CF9-CA40-4564-896B-76559BA00956}">
            <x14:dataBar minLength="0" maxLength="100" gradient="0">
              <x14:cfvo type="min"/>
              <x14:cfvo type="max"/>
              <x14:negativeFillColor rgb="FFFF0000"/>
              <x14:axisColor rgb="FF000000"/>
            </x14:dataBar>
          </x14:cfRule>
          <xm:sqref>V27:V38</xm:sqref>
        </x14:conditionalFormatting>
        <x14:conditionalFormatting xmlns:xm="http://schemas.microsoft.com/office/excel/2006/main">
          <x14:cfRule type="dataBar" id="{82B4A6B9-B838-4666-9338-B363690AD28F}">
            <x14:dataBar minLength="0" maxLength="100" gradient="0">
              <x14:cfvo type="autoMin"/>
              <x14:cfvo type="autoMax"/>
              <x14:negativeFillColor rgb="FFFF0000"/>
              <x14:axisColor rgb="FF000000"/>
            </x14:dataBar>
          </x14:cfRule>
          <xm:sqref>W12:W22</xm:sqref>
        </x14:conditionalFormatting>
        <x14:conditionalFormatting xmlns:xm="http://schemas.microsoft.com/office/excel/2006/main">
          <x14:cfRule type="dataBar" id="{6EE868C1-CE26-4865-8D2C-4F376F40263B}">
            <x14:dataBar minLength="0" maxLength="100" gradient="0">
              <x14:cfvo type="min"/>
              <x14:cfvo type="max"/>
              <x14:negativeFillColor rgb="FFFF0000"/>
              <x14:axisColor rgb="FF000000"/>
            </x14:dataBar>
          </x14:cfRule>
          <xm:sqref>W27:W38</xm:sqref>
        </x14:conditionalFormatting>
        <x14:conditionalFormatting xmlns:xm="http://schemas.microsoft.com/office/excel/2006/main">
          <x14:cfRule type="dataBar" id="{6F1F0DAC-B99A-409F-93F7-8DF9135C3CA0}">
            <x14:dataBar minLength="0" maxLength="100" gradient="0">
              <x14:cfvo type="autoMin"/>
              <x14:cfvo type="autoMax"/>
              <x14:negativeFillColor rgb="FFFF0000"/>
              <x14:axisColor rgb="FF000000"/>
            </x14:dataBar>
          </x14:cfRule>
          <xm:sqref>X12:X22</xm:sqref>
        </x14:conditionalFormatting>
        <x14:conditionalFormatting xmlns:xm="http://schemas.microsoft.com/office/excel/2006/main">
          <x14:cfRule type="dataBar" id="{0476A585-6E82-43B3-8CA8-495AFCB3A0B8}">
            <x14:dataBar minLength="0" maxLength="100" gradient="0">
              <x14:cfvo type="min"/>
              <x14:cfvo type="max"/>
              <x14:negativeFillColor rgb="FFFF0000"/>
              <x14:axisColor rgb="FF000000"/>
            </x14:dataBar>
          </x14:cfRule>
          <xm:sqref>X27:X38</xm:sqref>
        </x14:conditionalFormatting>
        <x14:conditionalFormatting xmlns:xm="http://schemas.microsoft.com/office/excel/2006/main">
          <x14:cfRule type="dataBar" id="{875355DC-C03B-442E-82E1-C06D8C207EC0}">
            <x14:dataBar minLength="0" maxLength="100" gradient="0">
              <x14:cfvo type="min"/>
              <x14:cfvo type="max"/>
              <x14:negativeFillColor rgb="FFFF0000"/>
              <x14:axisColor rgb="FF000000"/>
            </x14:dataBar>
          </x14:cfRule>
          <xm:sqref>Y11:Y22</xm:sqref>
        </x14:conditionalFormatting>
        <x14:conditionalFormatting xmlns:xm="http://schemas.microsoft.com/office/excel/2006/main">
          <x14:cfRule type="dataBar" id="{9A85CD7A-3385-4B70-9D2C-FEDFA94F47C0}">
            <x14:dataBar minLength="0" maxLength="100" gradient="0">
              <x14:cfvo type="min"/>
              <x14:cfvo type="max"/>
              <x14:negativeFillColor rgb="FFFF0000"/>
              <x14:axisColor rgb="FF000000"/>
            </x14:dataBar>
          </x14:cfRule>
          <xm:sqref>Z11:Z22</xm:sqref>
        </x14:conditionalFormatting>
        <x14:conditionalFormatting xmlns:xm="http://schemas.microsoft.com/office/excel/2006/main">
          <x14:cfRule type="dataBar" id="{E52F03FE-801F-4BD8-B839-17FE784FEA3D}">
            <x14:dataBar minLength="0" maxLength="100" gradient="0">
              <x14:cfvo type="min"/>
              <x14:cfvo type="max"/>
              <x14:negativeFillColor rgb="FFFF0000"/>
              <x14:axisColor rgb="FF000000"/>
            </x14:dataBar>
          </x14:cfRule>
          <xm:sqref>AA11:AA22</xm:sqref>
        </x14:conditionalFormatting>
        <x14:conditionalFormatting xmlns:xm="http://schemas.microsoft.com/office/excel/2006/main">
          <x14:cfRule type="dataBar" id="{338D6393-50D1-4876-8579-E056A5F42C59}">
            <x14:dataBar minLength="0" maxLength="100" gradient="0">
              <x14:cfvo type="min"/>
              <x14:cfvo type="max"/>
              <x14:negativeFillColor rgb="FFFF0000"/>
              <x14:axisColor rgb="FF000000"/>
            </x14:dataBar>
          </x14:cfRule>
          <xm:sqref>AB11:AB22</xm:sqref>
        </x14:conditionalFormatting>
        <x14:conditionalFormatting xmlns:xm="http://schemas.microsoft.com/office/excel/2006/main">
          <x14:cfRule type="dataBar" id="{B8816728-FA96-480E-A743-A35627DCC475}">
            <x14:dataBar minLength="0" maxLength="100" gradient="0">
              <x14:cfvo type="min"/>
              <x14:cfvo type="max"/>
              <x14:negativeFillColor rgb="FFFF0000"/>
              <x14:axisColor rgb="FF000000"/>
            </x14:dataBar>
          </x14:cfRule>
          <xm:sqref>AC11:AC22</xm:sqref>
        </x14:conditionalFormatting>
        <x14:conditionalFormatting xmlns:xm="http://schemas.microsoft.com/office/excel/2006/main">
          <x14:cfRule type="dataBar" id="{877F9C2B-EAE7-45A8-9AD1-1FA7CF5F978F}">
            <x14:dataBar minLength="0" maxLength="100" gradient="0">
              <x14:cfvo type="autoMin"/>
              <x14:cfvo type="autoMax"/>
              <x14:negativeFillColor rgb="FFFF0000"/>
              <x14:axisColor rgb="FF000000"/>
            </x14:dataBar>
          </x14:cfRule>
          <xm:sqref>AD12:AD22</xm:sqref>
        </x14:conditionalFormatting>
        <x14:conditionalFormatting xmlns:xm="http://schemas.microsoft.com/office/excel/2006/main">
          <x14:cfRule type="dataBar" id="{65325E52-29A2-474C-AC03-C5F4B0420F93}">
            <x14:dataBar minLength="0" maxLength="100" gradient="0">
              <x14:cfvo type="autoMin"/>
              <x14:cfvo type="autoMax"/>
              <x14:negativeFillColor rgb="FFFF0000"/>
              <x14:axisColor rgb="FF000000"/>
            </x14:dataBar>
          </x14:cfRule>
          <xm:sqref>AE12:AE22</xm:sqref>
        </x14:conditionalFormatting>
        <x14:conditionalFormatting xmlns:xm="http://schemas.microsoft.com/office/excel/2006/main">
          <x14:cfRule type="dataBar" id="{93596110-D09B-40B2-8DF2-961E4F73FDD8}">
            <x14:dataBar minLength="0" maxLength="100" gradient="0">
              <x14:cfvo type="min"/>
              <x14:cfvo type="max"/>
              <x14:negativeFillColor rgb="FFFF0000"/>
              <x14:axisColor rgb="FF000000"/>
            </x14:dataBar>
          </x14:cfRule>
          <xm:sqref>AF11:AF22</xm:sqref>
        </x14:conditionalFormatting>
        <x14:conditionalFormatting xmlns:xm="http://schemas.microsoft.com/office/excel/2006/main">
          <x14:cfRule type="dataBar" id="{BE91A183-5030-42F9-9953-31A0DBE2E1E5}">
            <x14:dataBar minLength="0" maxLength="100" gradient="0">
              <x14:cfvo type="min"/>
              <x14:cfvo type="max"/>
              <x14:negativeFillColor rgb="FFFF0000"/>
              <x14:axisColor rgb="FF000000"/>
            </x14:dataBar>
          </x14:cfRule>
          <xm:sqref>AG11:AG22</xm:sqref>
        </x14:conditionalFormatting>
        <x14:conditionalFormatting xmlns:xm="http://schemas.microsoft.com/office/excel/2006/main">
          <x14:cfRule type="dataBar" id="{A53809CB-F9CB-4575-8914-D40D48D54BE1}">
            <x14:dataBar minLength="0" maxLength="100" gradient="0">
              <x14:cfvo type="min"/>
              <x14:cfvo type="max"/>
              <x14:negativeFillColor rgb="FFFF0000"/>
              <x14:axisColor rgb="FF000000"/>
            </x14:dataBar>
          </x14:cfRule>
          <xm:sqref>AH11:AH22</xm:sqref>
        </x14:conditionalFormatting>
        <x14:conditionalFormatting xmlns:xm="http://schemas.microsoft.com/office/excel/2006/main">
          <x14:cfRule type="dataBar" id="{0A00E98D-52FD-4935-931F-D13F016F4C15}">
            <x14:dataBar minLength="0" maxLength="100" gradient="0">
              <x14:cfvo type="min"/>
              <x14:cfvo type="max"/>
              <x14:negativeFillColor rgb="FFFF0000"/>
              <x14:axisColor rgb="FF000000"/>
            </x14:dataBar>
          </x14:cfRule>
          <xm:sqref>AI11:AI22</xm:sqref>
        </x14:conditionalFormatting>
        <x14:conditionalFormatting xmlns:xm="http://schemas.microsoft.com/office/excel/2006/main">
          <x14:cfRule type="dataBar" id="{B14EA24F-CA0A-470F-A488-E4C6A9899407}">
            <x14:dataBar minLength="0" maxLength="100" gradient="0">
              <x14:cfvo type="min"/>
              <x14:cfvo type="max"/>
              <x14:negativeFillColor rgb="FFFF0000"/>
              <x14:axisColor rgb="FF000000"/>
            </x14:dataBar>
          </x14:cfRule>
          <xm:sqref>AJ11:AJ22</xm:sqref>
        </x14:conditionalFormatting>
        <x14:conditionalFormatting xmlns:xm="http://schemas.microsoft.com/office/excel/2006/main">
          <x14:cfRule type="dataBar" id="{41D416A8-F37D-4185-83D1-9B48F10FAAE6}">
            <x14:dataBar minLength="0" maxLength="100" gradient="0">
              <x14:cfvo type="autoMin"/>
              <x14:cfvo type="autoMax"/>
              <x14:negativeFillColor rgb="FFFF0000"/>
              <x14:axisColor rgb="FF000000"/>
            </x14:dataBar>
          </x14:cfRule>
          <xm:sqref>AK12:AK22</xm:sqref>
        </x14:conditionalFormatting>
        <x14:conditionalFormatting xmlns:xm="http://schemas.microsoft.com/office/excel/2006/main">
          <x14:cfRule type="dataBar" id="{07E6163E-A237-4C35-B098-17595B0EEA28}">
            <x14:dataBar minLength="0" maxLength="100" gradient="0">
              <x14:cfvo type="autoMin"/>
              <x14:cfvo type="autoMax"/>
              <x14:negativeFillColor rgb="FFFF0000"/>
              <x14:axisColor rgb="FF000000"/>
            </x14:dataBar>
          </x14:cfRule>
          <xm:sqref>AL12:AL22</xm:sqref>
        </x14:conditionalFormatting>
      </x14:conditionalFormattings>
    </ex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M a n u a l C a l c M o d e " > < C u s t o m C o n t e n t > < ! [ C D A T A [ F a l s 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C l i e n t W i n d o w X M L " > < C u s t o m C o n t e n t > < ! [ C D A T A [ p e r f o r m a n c e _ 3 2 2 6 1 6 2 8 - 9 6 0 8 - 4 3 4 6 - a 9 6 6 - f a 7 d 2 a 3 4 1 2 a 8 ] ] > < / C u s t o m C o n t e n t > < / G e m i n i > 
</file>

<file path=customXml/item14.xml>��< ? x m l   v e r s i o n = " 1 . 0 "   e n c o d i n g = " U T F - 1 6 " ? > < G e m i n i   x m l n s = " h t t p : / / g e m i n i / p i v o t c u s t o m i z a t i o n / T a b l e X M L _ p e r f o r m a n c e _ 3 2 2 6 1 6 2 8 - 9 6 0 8 - 4 3 4 6 - a 9 6 6 - f a 7 d 2 a 3 4 1 2 a 8 " > < C u s t o m C o n t e n t > < ! [ C D A T A [ < T a b l e W i d g e t G r i d S e r i a l i z a t i o n   x m l n s : x s d = " h t t p : / / w w w . w 3 . o r g / 2 0 0 1 / X M L S c h e m a "   x m l n s : x s i = " h t t p : / / w w w . w 3 . o r g / 2 0 0 1 / X M L S c h e m a - i n s t a n c e " > < C o l u m n S u g g e s t e d T y p e   / > < C o l u m n F o r m a t   / > < C o l u m n A c c u r a c y   / > < C o l u m n C u r r e n c y S y m b o l   / > < C o l u m n P o s i t i v e P a t t e r n   / > < C o l u m n N e g a t i v e P a t t e r n   / > < C o l u m n W i d t h s > < i t e m > < k e y > < s t r i n g > C a r d   I D < / s t r i n g > < / k e y > < v a l u e > < i n t > 1 0 3 < / i n t > < / v a l u e > < / i t e m > < i t e m > < k e y > < s t r i n g > M o n t h < / s t r i n g > < / k e y > < v a l u e > < i n t > 9 4 < / i n t > < / v a l u e > < / i t e m > < i t e m > < k e y > < s t r i n g > C y c l e < / s t r i n g > < / k e y > < v a l u e > < i n t > 8 8 < / i n t > < / v a l u e > < / i t e m > < i t e m > < k e y > < s t r i n g > B a l a n c e < / s t r i n g > < / k e y > < v a l u e > < i n t > 1 0 9 < / i n t > < / v a l u e > < / i t e m > < i t e m > < k e y > < s t r i n g > C r e d i t   L i m i t < / s t r i n g > < / k e y > < v a l u e > < i n t > 1 3 3 < / i n t > < / v a l u e > < / i t e m > < i t e m > < k e y > < s t r i n g > U t i l i z a t i o n < / s t r i n g > < / k e y > < v a l u e > < i n t > 1 5 7 < / i n t > < / v a l u e > < / i t e m > < i t e m > < k e y > < s t r i n g > U t i l i z a t i o n   G r o u p < / s t r i n g > < / k e y > < v a l u e > < i n t > 1 5 7 < / i n t > < / v a l u e > < / i t e m > < i t e m > < k e y > < s t r i n g > Y e a r s   o n   B o o k < / s t r i n g > < / k e y > < v a l u e > < i n t > 1 5 7 < / i n t > < / v a l u e > < / i t e m > < i t e m > < k e y > < s t r i n g > M o n t h   ( M o n t h   I n d e x ) < / s t r i n g > < / k e y > < v a l u e > < i n t > 2 1 6 < / i n t > < / v a l u e > < / i t e m > < / C o l u m n W i d t h s > < C o l u m n D i s p l a y I n d e x > < i t e m > < k e y > < s t r i n g > C a r d   I D < / s t r i n g > < / k e y > < v a l u e > < i n t > 0 < / i n t > < / v a l u e > < / i t e m > < i t e m > < k e y > < s t r i n g > M o n t h < / s t r i n g > < / k e y > < v a l u e > < i n t > 1 < / i n t > < / v a l u e > < / i t e m > < i t e m > < k e y > < s t r i n g > C y c l e < / s t r i n g > < / k e y > < v a l u e > < i n t > 2 < / i n t > < / v a l u e > < / i t e m > < i t e m > < k e y > < s t r i n g > B a l a n c e < / s t r i n g > < / k e y > < v a l u e > < i n t > 3 < / i n t > < / v a l u e > < / i t e m > < i t e m > < k e y > < s t r i n g > C r e d i t   L i m i t < / s t r i n g > < / k e y > < v a l u e > < i n t > 4 < / i n t > < / v a l u e > < / i t e m > < i t e m > < k e y > < s t r i n g > U t i l i z a t i o n < / s t r i n g > < / k e y > < v a l u e > < i n t > 5 < / i n t > < / v a l u e > < / i t e m > < i t e m > < k e y > < s t r i n g > U t i l i z a t i o n   G r o u p < / s t r i n g > < / k e y > < v a l u e > < i n t > 6 < / i n t > < / v a l u e > < / i t e m > < i t e m > < k e y > < s t r i n g > Y e a r s   o n   B o o k < / s t r i n g > < / k e y > < v a l u e > < i n t > 7 < / i n t > < / v a l u e > < / i t e m > < i t e m > < k e y > < s t r i n g > M o n t h   ( M o n t h   I n d e x ) < / s t r i n g > < / k e y > < v a l u e > < i n t > 8 < / 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 c r e d i t _ r e c o r d 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 c r e d i t _ r e c o r d 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 C a r d   I D < / K e y > < / D i a g r a m O b j e c t K e y > < D i a g r a m O b j e c t K e y > < K e y > M e a s u r e s \ C o u n t   o f   C a r d   I D \ T a g I n f o \ F o r m u l a < / K e y > < / D i a g r a m O b j e c t K e y > < D i a g r a m O b j e c t K e y > < K e y > M e a s u r e s \ C o u n t   o f   C a r d   I D \ T a g I n f o \ V a l u e < / K e y > < / D i a g r a m O b j e c t K e y > < D i a g r a m O b j e c t K e y > < K e y > M e a s u r e s \ S u m   o f   B a l a n c e < / K e y > < / D i a g r a m O b j e c t K e y > < D i a g r a m O b j e c t K e y > < K e y > M e a s u r e s \ S u m   o f   B a l a n c e \ T a g I n f o \ F o r m u l a < / K e y > < / D i a g r a m O b j e c t K e y > < D i a g r a m O b j e c t K e y > < K e y > M e a s u r e s \ S u m   o f   B a l a n c e \ T a g I n f o \ V a l u e < / K e y > < / D i a g r a m O b j e c t K e y > < D i a g r a m O b j e c t K e y > < K e y > C o l u m n s \ C a r d   I D < / K e y > < / D i a g r a m O b j e c t K e y > < D i a g r a m O b j e c t K e y > < K e y > C o l u m n s \ R e p o r t   D a t e < / K e y > < / D i a g r a m O b j e c t K e y > < D i a g r a m O b j e c t K e y > < K e y > C o l u m n s \ C y c l e < / K e y > < / D i a g r a m O b j e c t K e y > < D i a g r a m O b j e c t K e y > < K e y > C o l u m n s \ B a l a n c e < / K e y > < / D i a g r a m O b j e c t K e y > < D i a g r a m O b j e c t K e y > < K e y > C o l u m n s \ C r e d i t   L i m i t < / K e y > < / D i a g r a m O b j e c t K e y > < D i a g r a m O b j e c t K e y > < K e y > C o l u m n s \ U t i l i z a t i o n < / K e y > < / D i a g r a m O b j e c t K e y > < D i a g r a m O b j e c t K e y > < K e y > C o l u m n s \ U t i l i z a t i o n   G r o u p < / K e y > < / D i a g r a m O b j e c t K e y > < D i a g r a m O b j e c t K e y > < K e y > C o l u m n s \ Y e a r s   o n   B o o k < / K e y > < / D i a g r a m O b j e c t K e y > < D i a g r a m O b j e c t K e y > < K e y > L i n k s \ & l t ; C o l u m n s \ C o u n t   o f   C a r d   I D & g t ; - & l t ; M e a s u r e s \ C a r d   I D & g t ; < / K e y > < / D i a g r a m O b j e c t K e y > < D i a g r a m O b j e c t K e y > < K e y > L i n k s \ & l t ; C o l u m n s \ C o u n t   o f   C a r d   I D & g t ; - & l t ; M e a s u r e s \ C a r d   I D & g t ; \ C O L U M N < / K e y > < / D i a g r a m O b j e c t K e y > < D i a g r a m O b j e c t K e y > < K e y > L i n k s \ & l t ; C o l u m n s \ C o u n t   o f   C a r d   I D & g t ; - & l t ; M e a s u r e s \ C a r d   I D & g t ; \ M E A S U R E < / K e y > < / D i a g r a m O b j e c t K e y > < D i a g r a m O b j e c t K e y > < K e y > L i n k s \ & l t ; C o l u m n s \ S u m   o f   B a l a n c e & g t ; - & l t ; M e a s u r e s \ B a l a n c e & g t ; < / K e y > < / D i a g r a m O b j e c t K e y > < D i a g r a m O b j e c t K e y > < K e y > L i n k s \ & l t ; C o l u m n s \ S u m   o f   B a l a n c e & g t ; - & l t ; M e a s u r e s \ B a l a n c e & g t ; \ C O L U M N < / K e y > < / D i a g r a m O b j e c t K e y > < D i a g r a m O b j e c t K e y > < K e y > L i n k s \ & l t ; C o l u m n s \ S u m   o f   B a l a n c e & g t ; - & l t ; M e a s u r e s \ B a l a n c e & g t ; \ M E A S U R E 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L a y e d O u t > t r u e < / L a y e d O u 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 C a r d   I D < / K e y > < / a : K e y > < a : V a l u e   i : t y p e = " M e a s u r e G r i d N o d e V i e w S t a t e " > < L a y e d O u t > t r u e < / L a y e d O u t > < R o w > 2 < / R o w > < W a s U I I n v i s i b l e > t r u e < / W a s U I I n v i s i b l e > < / a : V a l u e > < / a : K e y V a l u e O f D i a g r a m O b j e c t K e y a n y T y p e z b w N T n L X > < a : K e y V a l u e O f D i a g r a m O b j e c t K e y a n y T y p e z b w N T n L X > < a : K e y > < K e y > M e a s u r e s \ C o u n t   o f   C a r d   I D \ T a g I n f o \ F o r m u l a < / K e y > < / a : K e y > < a : V a l u e   i : t y p e = " M e a s u r e G r i d V i e w S t a t e I D i a g r a m T a g A d d i t i o n a l I n f o " / > < / a : K e y V a l u e O f D i a g r a m O b j e c t K e y a n y T y p e z b w N T n L X > < a : K e y V a l u e O f D i a g r a m O b j e c t K e y a n y T y p e z b w N T n L X > < a : K e y > < K e y > M e a s u r e s \ C o u n t   o f   C a r d   I D \ T a g I n f o \ V a l u e < / K e y > < / a : K e y > < a : V a l u e   i : t y p e = " M e a s u r e G r i d V i e w S t a t e I D i a g r a m T a g A d d i t i o n a l I n f o " / > < / a : K e y V a l u e O f D i a g r a m O b j e c t K e y a n y T y p e z b w N T n L X > < a : K e y V a l u e O f D i a g r a m O b j e c t K e y a n y T y p e z b w N T n L X > < a : K e y > < K e y > M e a s u r e s \ S u m   o f   B a l a n c e < / K e y > < / a : K e y > < a : V a l u e   i : t y p e = " M e a s u r e G r i d N o d e V i e w S t a t e " > < C o l u m n > 3 < / C o l u m n > < L a y e d O u t > t r u e < / L a y e d O u t > < W a s U I I n v i s i b l e > t r u e < / W a s U I I n v i s i b l e > < / a : V a l u e > < / a : K e y V a l u e O f D i a g r a m O b j e c t K e y a n y T y p e z b w N T n L X > < a : K e y V a l u e O f D i a g r a m O b j e c t K e y a n y T y p e z b w N T n L X > < a : K e y > < K e y > M e a s u r e s \ S u m   o f   B a l a n c e \ T a g I n f o \ F o r m u l a < / K e y > < / a : K e y > < a : V a l u e   i : t y p e = " M e a s u r e G r i d V i e w S t a t e I D i a g r a m T a g A d d i t i o n a l I n f o " / > < / a : K e y V a l u e O f D i a g r a m O b j e c t K e y a n y T y p e z b w N T n L X > < a : K e y V a l u e O f D i a g r a m O b j e c t K e y a n y T y p e z b w N T n L X > < a : K e y > < K e y > M e a s u r e s \ S u m   o f   B a l a n c e \ T a g I n f o \ V a l u e < / K e y > < / a : K e y > < a : V a l u e   i : t y p e = " M e a s u r e G r i d V i e w S t a t e I D i a g r a m T a g A d d i t i o n a l I n f o " / > < / a : K e y V a l u e O f D i a g r a m O b j e c t K e y a n y T y p e z b w N T n L X > < a : K e y V a l u e O f D i a g r a m O b j e c t K e y a n y T y p e z b w N T n L X > < a : K e y > < K e y > C o l u m n s \ C a r d   I D < / K e y > < / a : K e y > < a : V a l u e   i : t y p e = " M e a s u r e G r i d N o d e V i e w S t a t e " > < L a y e d O u t > t r u e < / L a y e d O u t > < / a : V a l u e > < / a : K e y V a l u e O f D i a g r a m O b j e c t K e y a n y T y p e z b w N T n L X > < a : K e y V a l u e O f D i a g r a m O b j e c t K e y a n y T y p e z b w N T n L X > < a : K e y > < K e y > C o l u m n s \ R e p o r t   D a t e < / K e y > < / a : K e y > < a : V a l u e   i : t y p e = " M e a s u r e G r i d N o d e V i e w S t a t e " > < C o l u m n > 1 < / C o l u m n > < L a y e d O u t > t r u e < / L a y e d O u t > < / a : V a l u e > < / a : K e y V a l u e O f D i a g r a m O b j e c t K e y a n y T y p e z b w N T n L X > < a : K e y V a l u e O f D i a g r a m O b j e c t K e y a n y T y p e z b w N T n L X > < a : K e y > < K e y > C o l u m n s \ C y c l e < / K e y > < / a : K e y > < a : V a l u e   i : t y p e = " M e a s u r e G r i d N o d e V i e w S t a t e " > < C o l u m n > 2 < / C o l u m n > < L a y e d O u t > t r u e < / L a y e d O u t > < / a : V a l u e > < / a : K e y V a l u e O f D i a g r a m O b j e c t K e y a n y T y p e z b w N T n L X > < a : K e y V a l u e O f D i a g r a m O b j e c t K e y a n y T y p e z b w N T n L X > < a : K e y > < K e y > C o l u m n s \ B a l a n c e < / K e y > < / a : K e y > < a : V a l u e   i : t y p e = " M e a s u r e G r i d N o d e V i e w S t a t e " > < C o l u m n > 3 < / C o l u m n > < L a y e d O u t > t r u e < / L a y e d O u t > < / a : V a l u e > < / a : K e y V a l u e O f D i a g r a m O b j e c t K e y a n y T y p e z b w N T n L X > < a : K e y V a l u e O f D i a g r a m O b j e c t K e y a n y T y p e z b w N T n L X > < a : K e y > < K e y > C o l u m n s \ C r e d i t   L i m i t < / K e y > < / a : K e y > < a : V a l u e   i : t y p e = " M e a s u r e G r i d N o d e V i e w S t a t e " > < C o l u m n > 4 < / C o l u m n > < L a y e d O u t > t r u e < / L a y e d O u t > < / a : V a l u e > < / a : K e y V a l u e O f D i a g r a m O b j e c t K e y a n y T y p e z b w N T n L X > < a : K e y V a l u e O f D i a g r a m O b j e c t K e y a n y T y p e z b w N T n L X > < a : K e y > < K e y > C o l u m n s \ U t i l i z a t i o n < / K e y > < / a : K e y > < a : V a l u e   i : t y p e = " M e a s u r e G r i d N o d e V i e w S t a t e " > < C o l u m n > 5 < / C o l u m n > < L a y e d O u t > t r u e < / L a y e d O u t > < / a : V a l u e > < / a : K e y V a l u e O f D i a g r a m O b j e c t K e y a n y T y p e z b w N T n L X > < a : K e y V a l u e O f D i a g r a m O b j e c t K e y a n y T y p e z b w N T n L X > < a : K e y > < K e y > C o l u m n s \ U t i l i z a t i o n   G r o u p < / K e y > < / a : K e y > < a : V a l u e   i : t y p e = " M e a s u r e G r i d N o d e V i e w S t a t e " > < C o l u m n > 6 < / C o l u m n > < L a y e d O u t > t r u e < / L a y e d O u t > < / a : V a l u e > < / a : K e y V a l u e O f D i a g r a m O b j e c t K e y a n y T y p e z b w N T n L X > < a : K e y V a l u e O f D i a g r a m O b j e c t K e y a n y T y p e z b w N T n L X > < a : K e y > < K e y > C o l u m n s \ Y e a r s   o n   B o o k < / K e y > < / a : K e y > < a : V a l u e   i : t y p e = " M e a s u r e G r i d N o d e V i e w S t a t e " > < C o l u m n > 7 < / C o l u m n > < L a y e d O u t > t r u e < / L a y e d O u t > < / a : V a l u e > < / a : K e y V a l u e O f D i a g r a m O b j e c t K e y a n y T y p e z b w N T n L X > < a : K e y V a l u e O f D i a g r a m O b j e c t K e y a n y T y p e z b w N T n L X > < a : K e y > < K e y > L i n k s \ & l t ; C o l u m n s \ C o u n t   o f   C a r d   I D & g t ; - & l t ; M e a s u r e s \ C a r d   I D & g t ; < / K e y > < / a : K e y > < a : V a l u e   i : t y p e = " M e a s u r e G r i d V i e w S t a t e I D i a g r a m L i n k " / > < / a : K e y V a l u e O f D i a g r a m O b j e c t K e y a n y T y p e z b w N T n L X > < a : K e y V a l u e O f D i a g r a m O b j e c t K e y a n y T y p e z b w N T n L X > < a : K e y > < K e y > L i n k s \ & l t ; C o l u m n s \ C o u n t   o f   C a r d   I D & g t ; - & l t ; M e a s u r e s \ C a r d   I D & g t ; \ C O L U M N < / K e y > < / a : K e y > < a : V a l u e   i : t y p e = " M e a s u r e G r i d V i e w S t a t e I D i a g r a m L i n k E n d p o i n t " / > < / a : K e y V a l u e O f D i a g r a m O b j e c t K e y a n y T y p e z b w N T n L X > < a : K e y V a l u e O f D i a g r a m O b j e c t K e y a n y T y p e z b w N T n L X > < a : K e y > < K e y > L i n k s \ & l t ; C o l u m n s \ C o u n t   o f   C a r d   I D & g t ; - & l t ; M e a s u r e s \ C a r d   I D & g t ; \ M E A S U R E < / K e y > < / a : K e y > < a : V a l u e   i : t y p e = " M e a s u r e G r i d V i e w S t a t e I D i a g r a m L i n k E n d p o i n t " / > < / a : K e y V a l u e O f D i a g r a m O b j e c t K e y a n y T y p e z b w N T n L X > < a : K e y V a l u e O f D i a g r a m O b j e c t K e y a n y T y p e z b w N T n L X > < a : K e y > < K e y > L i n k s \ & l t ; C o l u m n s \ S u m   o f   B a l a n c e & g t ; - & l t ; M e a s u r e s \ B a l a n c e & g t ; < / K e y > < / a : K e y > < a : V a l u e   i : t y p e = " M e a s u r e G r i d V i e w S t a t e I D i a g r a m L i n k " / > < / a : K e y V a l u e O f D i a g r a m O b j e c t K e y a n y T y p e z b w N T n L X > < a : K e y V a l u e O f D i a g r a m O b j e c t K e y a n y T y p e z b w N T n L X > < a : K e y > < K e y > L i n k s \ & l t ; C o l u m n s \ S u m   o f   B a l a n c e & g t ; - & l t ; M e a s u r e s \ B a l a n c e & g t ; \ C O L U M N < / K e y > < / a : K e y > < a : V a l u e   i : t y p e = " M e a s u r e G r i d V i e w S t a t e I D i a g r a m L i n k E n d p o i n t " / > < / a : K e y V a l u e O f D i a g r a m O b j e c t K e y a n y T y p e z b w N T n L X > < a : K e y V a l u e O f D i a g r a m O b j e c t K e y a n y T y p e z b w N T n L X > < a : K e y > < K e y > L i n k s \ & l t ; C o l u m n s \ S u m   o f   B a l a n c e & g t ; - & l t ; M e a s u r e s \ B a l a n c e & g t ; \ M E A S U R E < / K e y > < / a : K e y > < a : V a l u e   i : t y p e = " M e a s u r e G r i d V i e w S t a t e I D i a g r a m L i n k E n d p o i n t " / > < / a : K e y V a l u e O f D i a g r a m O b j e c t K e y a n y T y p e z b w N T n L X > < / V i e w S t a t e s > < / D i a g r a m M a n a g e r . S e r i a l i z a b l e D i a g r a m > < D i a g r a m M a n a g e r . S e r i a l i z a b l e D i a g r a m > < A d a p t e r   i : t y p e = " M e a s u r e D i a g r a m S a n d b o x A d a p t e r " > < T a b l e N a m e > a p p l i c a t i o n _ r e c o r d _ u n i q u e 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 a p p l i c a t i o n _ r e c o r d _ u n i q u e 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 C o l u m n s \ C a r d   I D < / K e y > < / D i a g r a m O b j e c t K e y > < D i a g r a m O b j e c t K e y > < K e y > C o l u m n s \ O p e n   M o n t h < / K e y > < / D i a g r a m O b j e c t K e y > < D i a g r a m O b j e c t K e y > < K e y > C o l u m n s \ P r o v i n c e < / K e y > < / D i a g r a m O b j e c t K e y > < D i a g r a m O b j e c t K e y > < K e y > C o l u m n s \ D e b t   S e r v i c e   R a t i o < / K e y > < / D i a g r a m O b j e c t K e y > < D i a g r a m O b j e c t K e y > < K e y > C o l u m n s \ C r e d i t   S c o r e < / K e y > < / D i a g r a m O b j e c t K e y > < D i a g r a m O b j e c t K e y > < K e y > C o l u m n s \ D S R   G r o u p < / K e y > < / D i a g r a m O b j e c t K e y > < D i a g r a m O b j e c t K e y > < K e y > C o l u m n s \ C r e d i t   S c o r e   G r o u p 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 C o l u m n s \ C a r d   I D < / K e y > < / a : K e y > < a : V a l u e   i : t y p e = " M e a s u r e G r i d N o d e V i e w S t a t e " > < L a y e d O u t > t r u e < / L a y e d O u t > < / a : V a l u e > < / a : K e y V a l u e O f D i a g r a m O b j e c t K e y a n y T y p e z b w N T n L X > < a : K e y V a l u e O f D i a g r a m O b j e c t K e y a n y T y p e z b w N T n L X > < a : K e y > < K e y > C o l u m n s \ O p e n   M o n t h < / K e y > < / a : K e y > < a : V a l u e   i : t y p e = " M e a s u r e G r i d N o d e V i e w S t a t e " > < C o l u m n > 1 < / C o l u m n > < L a y e d O u t > t r u e < / L a y e d O u t > < / a : V a l u e > < / a : K e y V a l u e O f D i a g r a m O b j e c t K e y a n y T y p e z b w N T n L X > < a : K e y V a l u e O f D i a g r a m O b j e c t K e y a n y T y p e z b w N T n L X > < a : K e y > < K e y > C o l u m n s \ P r o v i n c e < / K e y > < / a : K e y > < a : V a l u e   i : t y p e = " M e a s u r e G r i d N o d e V i e w S t a t e " > < C o l u m n > 2 < / C o l u m n > < L a y e d O u t > t r u e < / L a y e d O u t > < / a : V a l u e > < / a : K e y V a l u e O f D i a g r a m O b j e c t K e y a n y T y p e z b w N T n L X > < a : K e y V a l u e O f D i a g r a m O b j e c t K e y a n y T y p e z b w N T n L X > < a : K e y > < K e y > C o l u m n s \ D e b t   S e r v i c e   R a t i o < / K e y > < / a : K e y > < a : V a l u e   i : t y p e = " M e a s u r e G r i d N o d e V i e w S t a t e " > < C o l u m n > 3 < / C o l u m n > < L a y e d O u t > t r u e < / L a y e d O u t > < / a : V a l u e > < / a : K e y V a l u e O f D i a g r a m O b j e c t K e y a n y T y p e z b w N T n L X > < a : K e y V a l u e O f D i a g r a m O b j e c t K e y a n y T y p e z b w N T n L X > < a : K e y > < K e y > C o l u m n s \ C r e d i t   S c o r e < / K e y > < / a : K e y > < a : V a l u e   i : t y p e = " M e a s u r e G r i d N o d e V i e w S t a t e " > < C o l u m n > 4 < / C o l u m n > < L a y e d O u t > t r u e < / L a y e d O u t > < / a : V a l u e > < / a : K e y V a l u e O f D i a g r a m O b j e c t K e y a n y T y p e z b w N T n L X > < a : K e y V a l u e O f D i a g r a m O b j e c t K e y a n y T y p e z b w N T n L X > < a : K e y > < K e y > C o l u m n s \ D S R   G r o u p < / K e y > < / a : K e y > < a : V a l u e   i : t y p e = " M e a s u r e G r i d N o d e V i e w S t a t e " > < C o l u m n > 5 < / C o l u m n > < L a y e d O u t > t r u e < / L a y e d O u t > < / a : V a l u e > < / a : K e y V a l u e O f D i a g r a m O b j e c t K e y a n y T y p e z b w N T n L X > < a : K e y V a l u e O f D i a g r a m O b j e c t K e y a n y T y p e z b w N T n L X > < a : K e y > < K e y > C o l u m n s \ C r e d i t   S c o r e   G r o u p < / 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 T a g s \ T a b l e s \ & l t ; T a b l e s \ p e r f o r m a n c e & g t ; < / K e y > < / D i a g r a m O b j e c t K e y > < D i a g r a m O b j e c t K e y > < K e y > D y n a m i c   T a g s \ T a b l e s \ & l t ; T a b l e s \ a p p l i c a t i o n _ u n i q u e & g t ; < / K e y > < / D i a g r a m O b j e c t K e y > < D i a g r a m O b j e c t K e y > < K e y > T a b l e s \ p e r f o r m a n c e < / K e y > < / D i a g r a m O b j e c t K e y > < D i a g r a m O b j e c t K e y > < K e y > T a b l e s \ p e r f o r m a n c e \ C o l u m n s \ C a r d   I D < / K e y > < / D i a g r a m O b j e c t K e y > < D i a g r a m O b j e c t K e y > < K e y > T a b l e s \ p e r f o r m a n c e \ C o l u m n s \ M o n t h < / K e y > < / D i a g r a m O b j e c t K e y > < D i a g r a m O b j e c t K e y > < K e y > T a b l e s \ p e r f o r m a n c e \ C o l u m n s \ C y c l e < / K e y > < / D i a g r a m O b j e c t K e y > < D i a g r a m O b j e c t K e y > < K e y > T a b l e s \ p e r f o r m a n c e \ C o l u m n s \ B a l a n c e < / K e y > < / D i a g r a m O b j e c t K e y > < D i a g r a m O b j e c t K e y > < K e y > T a b l e s \ p e r f o r m a n c e \ C o l u m n s \ C r e d i t   L i m i t < / K e y > < / D i a g r a m O b j e c t K e y > < D i a g r a m O b j e c t K e y > < K e y > T a b l e s \ p e r f o r m a n c e \ C o l u m n s \ U t i l i z a t i o n < / K e y > < / D i a g r a m O b j e c t K e y > < D i a g r a m O b j e c t K e y > < K e y > T a b l e s \ p e r f o r m a n c e \ C o l u m n s \ U t i l i z a t i o n   G r o u p < / K e y > < / D i a g r a m O b j e c t K e y > < D i a g r a m O b j e c t K e y > < K e y > T a b l e s \ p e r f o r m a n c e \ C o l u m n s \ Y e a r s   o n   B o o k < / K e y > < / D i a g r a m O b j e c t K e y > < D i a g r a m O b j e c t K e y > < K e y > T a b l e s \ a p p l i c a t i o n _ u n i q u e < / K e y > < / D i a g r a m O b j e c t K e y > < D i a g r a m O b j e c t K e y > < K e y > T a b l e s \ a p p l i c a t i o n _ u n i q u e \ C o l u m n s \ C a r d   I D < / K e y > < / D i a g r a m O b j e c t K e y > < D i a g r a m O b j e c t K e y > < K e y > T a b l e s \ a p p l i c a t i o n _ u n i q u e \ C o l u m n s \ M o n t h   O p e n e d < / K e y > < / D i a g r a m O b j e c t K e y > < D i a g r a m O b j e c t K e y > < K e y > T a b l e s \ a p p l i c a t i o n _ u n i q u e \ C o l u m n s \ P r o v i n c e < / K e y > < / D i a g r a m O b j e c t K e y > < D i a g r a m O b j e c t K e y > < K e y > T a b l e s \ a p p l i c a t i o n _ u n i q u e \ C o l u m n s \ D e b t   S e r v i c e   R a t i o < / K e y > < / D i a g r a m O b j e c t K e y > < D i a g r a m O b j e c t K e y > < K e y > T a b l e s \ a p p l i c a t i o n _ u n i q u e \ C o l u m n s \ C r e d i t   S c o r e < / K e y > < / D i a g r a m O b j e c t K e y > < D i a g r a m O b j e c t K e y > < K e y > T a b l e s \ a p p l i c a t i o n _ u n i q u e \ C o l u m n s \ D S R   G r o u p < / K e y > < / D i a g r a m O b j e c t K e y > < D i a g r a m O b j e c t K e y > < K e y > T a b l e s \ a p p l i c a t i o n _ u n i q u e \ C o l u m n s \ C r e d i t   S c o r e   G r o u p < / K e y > < / D i a g r a m O b j e c t K e y > < D i a g r a m O b j e c t K e y > < K e y > R e l a t i o n s h i p s \ & l t ; T a b l e s \ p e r f o r m a n c e \ C o l u m n s \ C a r d   I D & g t ; - & l t ; T a b l e s \ a p p l i c a t i o n _ u n i q u e \ C o l u m n s \ C a r d   I D & g t ; < / K e y > < / D i a g r a m O b j e c t K e y > < D i a g r a m O b j e c t K e y > < K e y > R e l a t i o n s h i p s \ & l t ; T a b l e s \ p e r f o r m a n c e \ C o l u m n s \ C a r d   I D & g t ; - & l t ; T a b l e s \ a p p l i c a t i o n _ u n i q u e \ C o l u m n s \ C a r d   I D & g t ; \ F K < / K e y > < / D i a g r a m O b j e c t K e y > < D i a g r a m O b j e c t K e y > < K e y > R e l a t i o n s h i p s \ & l t ; T a b l e s \ p e r f o r m a n c e \ C o l u m n s \ C a r d   I D & g t ; - & l t ; T a b l e s \ a p p l i c a t i o n _ u n i q u e \ C o l u m n s \ C a r d   I D & g t ; \ P K < / K e y > < / D i a g r a m O b j e c t K e y > < D i a g r a m O b j e c t K e y > < K e y > R e l a t i o n s h i p s \ & l t ; T a b l e s \ p e r f o r m a n c e \ C o l u m n s \ C a r d   I D & g t ; - & l t ; T a b l e s \ a p p l i c a t i o n _ u n i q u e \ C o l u m n s \ C a r d   I D & g t ; \ C r o s s F i l t e r < / K e y > < / D i a g r a m O b j e c t K e y > < / A l l K e y s > < S e l e c t e d K e y s > < D i a g r a m O b j e c t K e y > < K e y > T a b l e s \ p e r f o r m a n c e 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 T a g s \ T a b l e s \ & l t ; T a b l e s \ p e r f o r m a n c e & g t ; < / K e y > < / a : K e y > < a : V a l u e   i : t y p e = " D i a g r a m D i s p l a y T a g V i e w S t a t e " > < I s N o t F i l t e r e d O u t > t r u e < / I s N o t F i l t e r e d O u t > < / a : V a l u e > < / a : K e y V a l u e O f D i a g r a m O b j e c t K e y a n y T y p e z b w N T n L X > < a : K e y V a l u e O f D i a g r a m O b j e c t K e y a n y T y p e z b w N T n L X > < a : K e y > < K e y > D y n a m i c   T a g s \ T a b l e s \ & l t ; T a b l e s \ a p p l i c a t i o n _ u n i q u e & g t ; < / K e y > < / a : K e y > < a : V a l u e   i : t y p e = " D i a g r a m D i s p l a y T a g V i e w S t a t e " > < I s N o t F i l t e r e d O u t > t r u e < / I s N o t F i l t e r e d O u t > < / a : V a l u e > < / a : K e y V a l u e O f D i a g r a m O b j e c t K e y a n y T y p e z b w N T n L X > < a : K e y V a l u e O f D i a g r a m O b j e c t K e y a n y T y p e z b w N T n L X > < a : K e y > < K e y > T a b l e s \ p e r f o r m a n c e < / K e y > < / a : K e y > < a : V a l u e   i : t y p e = " D i a g r a m D i s p l a y N o d e V i e w S t a t e " > < H e i g h t > 2 4 2 . 8 0 0 0 0 0 0 0 0 0 0 0 0 4 < / H e i g h t > < I s E x p a n d e d > t r u e < / I s E x p a n d e d > < I s F o c u s e d > t r u e < / I s F o c u s e d > < L a y e d O u t > t r u e < / L a y e d O u t > < L e f t > 2 7 1 . 2 0 0 0 0 0 0 0 0 0 0 0 0 5 < / L e f t > < T a b I n d e x > 1 < / T a b I n d e x > < T o p > 1 8 5 . 6 0 0 0 0 0 0 0 0 0 0 0 0 2 < / T o p > < W i d t h > 2 0 0 < / W i d t h > < / a : V a l u e > < / a : K e y V a l u e O f D i a g r a m O b j e c t K e y a n y T y p e z b w N T n L X > < a : K e y V a l u e O f D i a g r a m O b j e c t K e y a n y T y p e z b w N T n L X > < a : K e y > < K e y > T a b l e s \ p e r f o r m a n c e \ C o l u m n s \ C a r d   I D < / K e y > < / a : K e y > < a : V a l u e   i : t y p e = " D i a g r a m D i s p l a y N o d e V i e w S t a t e " > < H e i g h t > 1 5 0 < / H e i g h t > < I s E x p a n d e d > t r u e < / I s E x p a n d e d > < W i d t h > 2 0 0 < / W i d t h > < / a : V a l u e > < / a : K e y V a l u e O f D i a g r a m O b j e c t K e y a n y T y p e z b w N T n L X > < a : K e y V a l u e O f D i a g r a m O b j e c t K e y a n y T y p e z b w N T n L X > < a : K e y > < K e y > T a b l e s \ p e r f o r m a n c e \ C o l u m n s \ M o n t h < / K e y > < / a : K e y > < a : V a l u e   i : t y p e = " D i a g r a m D i s p l a y N o d e V i e w S t a t e " > < H e i g h t > 1 5 0 < / H e i g h t > < I s E x p a n d e d > t r u e < / I s E x p a n d e d > < W i d t h > 2 0 0 < / W i d t h > < / a : V a l u e > < / a : K e y V a l u e O f D i a g r a m O b j e c t K e y a n y T y p e z b w N T n L X > < a : K e y V a l u e O f D i a g r a m O b j e c t K e y a n y T y p e z b w N T n L X > < a : K e y > < K e y > T a b l e s \ p e r f o r m a n c e \ C o l u m n s \ C y c l e < / K e y > < / a : K e y > < a : V a l u e   i : t y p e = " D i a g r a m D i s p l a y N o d e V i e w S t a t e " > < H e i g h t > 1 5 0 < / H e i g h t > < I s E x p a n d e d > t r u e < / I s E x p a n d e d > < W i d t h > 2 0 0 < / W i d t h > < / a : V a l u e > < / a : K e y V a l u e O f D i a g r a m O b j e c t K e y a n y T y p e z b w N T n L X > < a : K e y V a l u e O f D i a g r a m O b j e c t K e y a n y T y p e z b w N T n L X > < a : K e y > < K e y > T a b l e s \ p e r f o r m a n c e \ C o l u m n s \ B a l a n c e < / K e y > < / a : K e y > < a : V a l u e   i : t y p e = " D i a g r a m D i s p l a y N o d e V i e w S t a t e " > < H e i g h t > 1 5 0 < / H e i g h t > < I s E x p a n d e d > t r u e < / I s E x p a n d e d > < W i d t h > 2 0 0 < / W i d t h > < / a : V a l u e > < / a : K e y V a l u e O f D i a g r a m O b j e c t K e y a n y T y p e z b w N T n L X > < a : K e y V a l u e O f D i a g r a m O b j e c t K e y a n y T y p e z b w N T n L X > < a : K e y > < K e y > T a b l e s \ p e r f o r m a n c e \ C o l u m n s \ C r e d i t   L i m i t < / K e y > < / a : K e y > < a : V a l u e   i : t y p e = " D i a g r a m D i s p l a y N o d e V i e w S t a t e " > < H e i g h t > 1 5 0 < / H e i g h t > < I s E x p a n d e d > t r u e < / I s E x p a n d e d > < W i d t h > 2 0 0 < / W i d t h > < / a : V a l u e > < / a : K e y V a l u e O f D i a g r a m O b j e c t K e y a n y T y p e z b w N T n L X > < a : K e y V a l u e O f D i a g r a m O b j e c t K e y a n y T y p e z b w N T n L X > < a : K e y > < K e y > T a b l e s \ p e r f o r m a n c e \ C o l u m n s \ U t i l i z a t i o n < / K e y > < / a : K e y > < a : V a l u e   i : t y p e = " D i a g r a m D i s p l a y N o d e V i e w S t a t e " > < H e i g h t > 1 5 0 < / H e i g h t > < I s E x p a n d e d > t r u e < / I s E x p a n d e d > < W i d t h > 2 0 0 < / W i d t h > < / a : V a l u e > < / a : K e y V a l u e O f D i a g r a m O b j e c t K e y a n y T y p e z b w N T n L X > < a : K e y V a l u e O f D i a g r a m O b j e c t K e y a n y T y p e z b w N T n L X > < a : K e y > < K e y > T a b l e s \ p e r f o r m a n c e \ C o l u m n s \ U t i l i z a t i o n   G r o u p < / K e y > < / a : K e y > < a : V a l u e   i : t y p e = " D i a g r a m D i s p l a y N o d e V i e w S t a t e " > < H e i g h t > 1 5 0 < / H e i g h t > < I s E x p a n d e d > t r u e < / I s E x p a n d e d > < W i d t h > 2 0 0 < / W i d t h > < / a : V a l u e > < / a : K e y V a l u e O f D i a g r a m O b j e c t K e y a n y T y p e z b w N T n L X > < a : K e y V a l u e O f D i a g r a m O b j e c t K e y a n y T y p e z b w N T n L X > < a : K e y > < K e y > T a b l e s \ p e r f o r m a n c e \ C o l u m n s \ Y e a r s   o n   B o o k < / K e y > < / a : K e y > < a : V a l u e   i : t y p e = " D i a g r a m D i s p l a y N o d e V i e w S t a t e " > < H e i g h t > 1 5 0 < / H e i g h t > < I s E x p a n d e d > t r u e < / I s E x p a n d e d > < W i d t h > 2 0 0 < / W i d t h > < / a : V a l u e > < / a : K e y V a l u e O f D i a g r a m O b j e c t K e y a n y T y p e z b w N T n L X > < a : K e y V a l u e O f D i a g r a m O b j e c t K e y a n y T y p e z b w N T n L X > < a : K e y > < K e y > T a b l e s \ a p p l i c a t i o n _ u n i q u e < / K e y > < / a : K e y > < a : V a l u e   i : t y p e = " D i a g r a m D i s p l a y N o d e V i e w S t a t e " > < H e i g h t > 2 2 4 . 3 9 9 9 9 9 9 9 9 9 9 9 9 8 < / H e i g h t > < I s E x p a n d e d > t r u e < / I s E x p a n d e d > < L a y e d O u t > t r u e < / L a y e d O u t > < W i d t h > 2 2 1 . 5 9 9 9 9 9 9 9 9 9 9 9 9 1 < / W i d t h > < / a : V a l u e > < / a : K e y V a l u e O f D i a g r a m O b j e c t K e y a n y T y p e z b w N T n L X > < a : K e y V a l u e O f D i a g r a m O b j e c t K e y a n y T y p e z b w N T n L X > < a : K e y > < K e y > T a b l e s \ a p p l i c a t i o n _ u n i q u e \ C o l u m n s \ C a r d   I D < / K e y > < / a : K e y > < a : V a l u e   i : t y p e = " D i a g r a m D i s p l a y N o d e V i e w S t a t e " > < H e i g h t > 1 5 0 < / H e i g h t > < I s E x p a n d e d > t r u e < / I s E x p a n d e d > < W i d t h > 2 0 0 < / W i d t h > < / a : V a l u e > < / a : K e y V a l u e O f D i a g r a m O b j e c t K e y a n y T y p e z b w N T n L X > < a : K e y V a l u e O f D i a g r a m O b j e c t K e y a n y T y p e z b w N T n L X > < a : K e y > < K e y > T a b l e s \ a p p l i c a t i o n _ u n i q u e \ C o l u m n s \ M o n t h   O p e n e d < / K e y > < / a : K e y > < a : V a l u e   i : t y p e = " D i a g r a m D i s p l a y N o d e V i e w S t a t e " > < H e i g h t > 1 5 0 < / H e i g h t > < I s E x p a n d e d > t r u e < / I s E x p a n d e d > < W i d t h > 2 0 0 < / W i d t h > < / a : V a l u e > < / a : K e y V a l u e O f D i a g r a m O b j e c t K e y a n y T y p e z b w N T n L X > < a : K e y V a l u e O f D i a g r a m O b j e c t K e y a n y T y p e z b w N T n L X > < a : K e y > < K e y > T a b l e s \ a p p l i c a t i o n _ u n i q u e \ C o l u m n s \ P r o v i n c e < / K e y > < / a : K e y > < a : V a l u e   i : t y p e = " D i a g r a m D i s p l a y N o d e V i e w S t a t e " > < H e i g h t > 1 5 0 < / H e i g h t > < I s E x p a n d e d > t r u e < / I s E x p a n d e d > < W i d t h > 2 0 0 < / W i d t h > < / a : V a l u e > < / a : K e y V a l u e O f D i a g r a m O b j e c t K e y a n y T y p e z b w N T n L X > < a : K e y V a l u e O f D i a g r a m O b j e c t K e y a n y T y p e z b w N T n L X > < a : K e y > < K e y > T a b l e s \ a p p l i c a t i o n _ u n i q u e \ C o l u m n s \ D e b t   S e r v i c e   R a t i o < / K e y > < / a : K e y > < a : V a l u e   i : t y p e = " D i a g r a m D i s p l a y N o d e V i e w S t a t e " > < H e i g h t > 1 5 0 < / H e i g h t > < I s E x p a n d e d > t r u e < / I s E x p a n d e d > < W i d t h > 2 0 0 < / W i d t h > < / a : V a l u e > < / a : K e y V a l u e O f D i a g r a m O b j e c t K e y a n y T y p e z b w N T n L X > < a : K e y V a l u e O f D i a g r a m O b j e c t K e y a n y T y p e z b w N T n L X > < a : K e y > < K e y > T a b l e s \ a p p l i c a t i o n _ u n i q u e \ C o l u m n s \ C r e d i t   S c o r e < / K e y > < / a : K e y > < a : V a l u e   i : t y p e = " D i a g r a m D i s p l a y N o d e V i e w S t a t e " > < H e i g h t > 1 5 0 < / H e i g h t > < I s E x p a n d e d > t r u e < / I s E x p a n d e d > < W i d t h > 2 0 0 < / W i d t h > < / a : V a l u e > < / a : K e y V a l u e O f D i a g r a m O b j e c t K e y a n y T y p e z b w N T n L X > < a : K e y V a l u e O f D i a g r a m O b j e c t K e y a n y T y p e z b w N T n L X > < a : K e y > < K e y > T a b l e s \ a p p l i c a t i o n _ u n i q u e \ C o l u m n s \ D S R   G r o u p < / K e y > < / a : K e y > < a : V a l u e   i : t y p e = " D i a g r a m D i s p l a y N o d e V i e w S t a t e " > < H e i g h t > 1 5 0 < / H e i g h t > < I s E x p a n d e d > t r u e < / I s E x p a n d e d > < W i d t h > 2 0 0 < / W i d t h > < / a : V a l u e > < / a : K e y V a l u e O f D i a g r a m O b j e c t K e y a n y T y p e z b w N T n L X > < a : K e y V a l u e O f D i a g r a m O b j e c t K e y a n y T y p e z b w N T n L X > < a : K e y > < K e y > T a b l e s \ a p p l i c a t i o n _ u n i q u e \ C o l u m n s \ C r e d i t   S c o r e   G r o u p < / K e y > < / a : K e y > < a : V a l u e   i : t y p e = " D i a g r a m D i s p l a y N o d e V i e w S t a t e " > < H e i g h t > 1 5 0 < / H e i g h t > < I s E x p a n d e d > t r u e < / I s E x p a n d e d > < W i d t h > 2 0 0 < / W i d t h > < / a : V a l u e > < / a : K e y V a l u e O f D i a g r a m O b j e c t K e y a n y T y p e z b w N T n L X > < a : K e y V a l u e O f D i a g r a m O b j e c t K e y a n y T y p e z b w N T n L X > < a : K e y > < K e y > R e l a t i o n s h i p s \ & l t ; T a b l e s \ p e r f o r m a n c e \ C o l u m n s \ C a r d   I D & g t ; - & l t ; T a b l e s \ a p p l i c a t i o n _ u n i q u e \ C o l u m n s \ C a r d   I D & g t ; < / K e y > < / a : K e y > < a : V a l u e   i : t y p e = " D i a g r a m D i s p l a y L i n k V i e w S t a t e " > < A u t o m a t i o n P r o p e r t y H e l p e r T e x t > E n d   p o i n t   1 :   ( 3 7 1 . 2 , 1 6 9 . 6 ) .   E n d   p o i n t   2 :   ( 2 3 7 . 6 , 1 1 2 . 2 )   < / A u t o m a t i o n P r o p e r t y H e l p e r T e x t > < L a y e d O u t > t r u e < / L a y e d O u t > < P o i n t s   x m l n s : b = " h t t p : / / s c h e m a s . d a t a c o n t r a c t . o r g / 2 0 0 4 / 0 7 / S y s t e m . W i n d o w s " > < b : P o i n t > < b : _ x > 3 7 1 . 2 0 0 0 0 0 0 0 0 0 0 0 0 5 < / b : _ x > < b : _ y > 1 6 9 . 6 0 0 0 0 0 0 0 0 0 0 0 0 2 < / b : _ y > < / b : P o i n t > < b : P o i n t > < b : _ x > 3 7 1 . 2 < / b : _ x > < b : _ y > 1 1 4 . 2 < / b : _ y > < / b : P o i n t > < b : P o i n t > < b : _ x > 3 6 9 . 2 < / b : _ x > < b : _ y > 1 1 2 . 2 < / b : _ y > < / b : P o i n t > < b : P o i n t > < b : _ x > 2 3 7 . 5 9 9 9 9 9 9 9 9 9 9 9 8 2 < / b : _ x > < b : _ y > 1 1 2 . 2 0 0 0 0 0 0 0 0 0 0 0 0 2 < / b : _ y > < / b : P o i n t > < / P o i n t s > < / a : V a l u e > < / a : K e y V a l u e O f D i a g r a m O b j e c t K e y a n y T y p e z b w N T n L X > < a : K e y V a l u e O f D i a g r a m O b j e c t K e y a n y T y p e z b w N T n L X > < a : K e y > < K e y > R e l a t i o n s h i p s \ & l t ; T a b l e s \ p e r f o r m a n c e \ C o l u m n s \ C a r d   I D & g t ; - & l t ; T a b l e s \ a p p l i c a t i o n _ u n i q u e \ C o l u m n s \ C a r d   I D & g t ; \ F K < / K e y > < / a : K e y > < a : V a l u e   i : t y p e = " D i a g r a m D i s p l a y L i n k E n d p o i n t V i e w S t a t e " > < H e i g h t > 1 6 < / H e i g h t > < L a b e l L o c a t i o n   x m l n s : b = " h t t p : / / s c h e m a s . d a t a c o n t r a c t . o r g / 2 0 0 4 / 0 7 / S y s t e m . W i n d o w s " > < b : _ x > 3 6 3 . 2 0 0 0 0 0 0 0 0 0 0 0 0 5 < / b : _ x > < b : _ y > 1 6 9 . 6 0 0 0 0 0 0 0 0 0 0 0 0 2 < / b : _ y > < / L a b e l L o c a t i o n > < L o c a t i o n   x m l n s : b = " h t t p : / / s c h e m a s . d a t a c o n t r a c t . o r g / 2 0 0 4 / 0 7 / S y s t e m . W i n d o w s " > < b : _ x > 3 7 1 . 2 < / b : _ x > < b : _ y > 1 8 5 . 6 0 0 0 0 0 0 0 0 0 0 0 0 2 < / b : _ y > < / L o c a t i o n > < S h a p e R o t a t e A n g l e > 2 7 0 . 0 0 0 0 0 0 0 0 0 0 0 0 2 3 < / S h a p e R o t a t e A n g l e > < W i d t h > 1 6 < / W i d t h > < / a : V a l u e > < / a : K e y V a l u e O f D i a g r a m O b j e c t K e y a n y T y p e z b w N T n L X > < a : K e y V a l u e O f D i a g r a m O b j e c t K e y a n y T y p e z b w N T n L X > < a : K e y > < K e y > R e l a t i o n s h i p s \ & l t ; T a b l e s \ p e r f o r m a n c e \ C o l u m n s \ C a r d   I D & g t ; - & l t ; T a b l e s \ a p p l i c a t i o n _ u n i q u e \ C o l u m n s \ C a r d   I D & g t ; \ P K < / K e y > < / a : K e y > < a : V a l u e   i : t y p e = " D i a g r a m D i s p l a y L i n k E n d p o i n t V i e w S t a t e " > < H e i g h t > 1 6 < / H e i g h t > < L a b e l L o c a t i o n   x m l n s : b = " h t t p : / / s c h e m a s . d a t a c o n t r a c t . o r g / 2 0 0 4 / 0 7 / S y s t e m . W i n d o w s " > < b : _ x > 2 2 1 . 5 9 9 9 9 9 9 9 9 9 9 9 8 2 < / b : _ x > < b : _ y > 1 0 4 . 2 0 0 0 0 0 0 0 0 0 0 0 0 2 < / b : _ y > < / L a b e l L o c a t i o n > < L o c a t i o n   x m l n s : b = " h t t p : / / s c h e m a s . d a t a c o n t r a c t . o r g / 2 0 0 4 / 0 7 / S y s t e m . W i n d o w s " > < b : _ x > 2 2 1 . 5 9 9 9 9 9 9 9 9 9 9 9 8 5 < / b : _ x > < b : _ y > 1 1 2 . 2 0 0 0 0 0 0 0 0 0 0 0 0 2 < / b : _ y > < / L o c a t i o n > < S h a p e R o t a t e A n g l e > 3 6 0 < / S h a p e R o t a t e A n g l e > < W i d t h > 1 6 < / W i d t h > < / a : V a l u e > < / a : K e y V a l u e O f D i a g r a m O b j e c t K e y a n y T y p e z b w N T n L X > < a : K e y V a l u e O f D i a g r a m O b j e c t K e y a n y T y p e z b w N T n L X > < a : K e y > < K e y > R e l a t i o n s h i p s \ & l t ; T a b l e s \ p e r f o r m a n c e \ C o l u m n s \ C a r d   I D & g t ; - & l t ; T a b l e s \ a p p l i c a t i o n _ u n i q u e \ C o l u m n s \ C a r d   I D & g t ; \ C r o s s F i l t e r < / K e y > < / a : K e y > < a : V a l u e   i : t y p e = " D i a g r a m D i s p l a y L i n k C r o s s F i l t e r V i e w S t a t e " > < P o i n t s   x m l n s : b = " h t t p : / / s c h e m a s . d a t a c o n t r a c t . o r g / 2 0 0 4 / 0 7 / S y s t e m . W i n d o w s " > < b : P o i n t > < b : _ x > 3 7 1 . 2 0 0 0 0 0 0 0 0 0 0 0 0 5 < / b : _ x > < b : _ y > 1 6 9 . 6 0 0 0 0 0 0 0 0 0 0 0 0 2 < / b : _ y > < / b : P o i n t > < b : P o i n t > < b : _ x > 3 7 1 . 2 < / b : _ x > < b : _ y > 1 1 4 . 2 < / b : _ y > < / b : P o i n t > < b : P o i n t > < b : _ x > 3 6 9 . 2 < / b : _ x > < b : _ y > 1 1 2 . 2 < / b : _ y > < / b : P o i n t > < b : P o i n t > < b : _ x > 2 3 7 . 5 9 9 9 9 9 9 9 9 9 9 9 8 2 < / b : _ x > < b : _ y > 1 1 2 . 2 0 0 0 0 0 0 0 0 0 0 0 0 2 < / b : _ y > < / b : P o i n t > < / P o i n t s > < / a : V a l u e > < / a : K e y V a l u e O f D i a g r a m O b j e c t K e y a n y T y p e z b w N T n L X > < / V i e w S t a t e s > < / D i a g r a m M a n a g e r . S e r i a l i z a b l e D i a g r a m > < D i a g r a m M a n a g e r . S e r i a l i z a b l e D i a g r a m > < A d a p t e r   i : t y p e = " M e a s u r e D i a g r a m S a n d b o x A d a p t e r " > < T a b l e N a m e > a p p l i c a t i o n _ u n i q u e 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 a p p l i c a t i o n _ u n i q u e 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 C o l u m n s \ C a r d   I D < / K e y > < / D i a g r a m O b j e c t K e y > < D i a g r a m O b j e c t K e y > < K e y > C o l u m n s \ M o n t h   O p e n e d < / K e y > < / D i a g r a m O b j e c t K e y > < D i a g r a m O b j e c t K e y > < K e y > C o l u m n s \ P r o v i n c e < / K e y > < / D i a g r a m O b j e c t K e y > < D i a g r a m O b j e c t K e y > < K e y > C o l u m n s \ D e b t   S e r v i c e   R a t i o < / K e y > < / D i a g r a m O b j e c t K e y > < D i a g r a m O b j e c t K e y > < K e y > C o l u m n s \ C r e d i t   S c o r e < / K e y > < / D i a g r a m O b j e c t K e y > < D i a g r a m O b j e c t K e y > < K e y > C o l u m n s \ D S R   G r o u p < / K e y > < / D i a g r a m O b j e c t K e y > < D i a g r a m O b j e c t K e y > < K e y > C o l u m n s \ C r e d i t   S c o r e   G r o u p 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 C o l u m n s \ C a r d   I D < / K e y > < / a : K e y > < a : V a l u e   i : t y p e = " M e a s u r e G r i d N o d e V i e w S t a t e " > < L a y e d O u t > t r u e < / L a y e d O u t > < / a : V a l u e > < / a : K e y V a l u e O f D i a g r a m O b j e c t K e y a n y T y p e z b w N T n L X > < a : K e y V a l u e O f D i a g r a m O b j e c t K e y a n y T y p e z b w N T n L X > < a : K e y > < K e y > C o l u m n s \ M o n t h   O p e n e d < / K e y > < / a : K e y > < a : V a l u e   i : t y p e = " M e a s u r e G r i d N o d e V i e w S t a t e " > < C o l u m n > 1 < / C o l u m n > < L a y e d O u t > t r u e < / L a y e d O u t > < / a : V a l u e > < / a : K e y V a l u e O f D i a g r a m O b j e c t K e y a n y T y p e z b w N T n L X > < a : K e y V a l u e O f D i a g r a m O b j e c t K e y a n y T y p e z b w N T n L X > < a : K e y > < K e y > C o l u m n s \ P r o v i n c e < / K e y > < / a : K e y > < a : V a l u e   i : t y p e = " M e a s u r e G r i d N o d e V i e w S t a t e " > < C o l u m n > 2 < / C o l u m n > < L a y e d O u t > t r u e < / L a y e d O u t > < / a : V a l u e > < / a : K e y V a l u e O f D i a g r a m O b j e c t K e y a n y T y p e z b w N T n L X > < a : K e y V a l u e O f D i a g r a m O b j e c t K e y a n y T y p e z b w N T n L X > < a : K e y > < K e y > C o l u m n s \ D e b t   S e r v i c e   R a t i o < / K e y > < / a : K e y > < a : V a l u e   i : t y p e = " M e a s u r e G r i d N o d e V i e w S t a t e " > < C o l u m n > 3 < / C o l u m n > < L a y e d O u t > t r u e < / L a y e d O u t > < / a : V a l u e > < / a : K e y V a l u e O f D i a g r a m O b j e c t K e y a n y T y p e z b w N T n L X > < a : K e y V a l u e O f D i a g r a m O b j e c t K e y a n y T y p e z b w N T n L X > < a : K e y > < K e y > C o l u m n s \ C r e d i t   S c o r e < / K e y > < / a : K e y > < a : V a l u e   i : t y p e = " M e a s u r e G r i d N o d e V i e w S t a t e " > < C o l u m n > 4 < / C o l u m n > < L a y e d O u t > t r u e < / L a y e d O u t > < / a : V a l u e > < / a : K e y V a l u e O f D i a g r a m O b j e c t K e y a n y T y p e z b w N T n L X > < a : K e y V a l u e O f D i a g r a m O b j e c t K e y a n y T y p e z b w N T n L X > < a : K e y > < K e y > C o l u m n s \ D S R   G r o u p < / K e y > < / a : K e y > < a : V a l u e   i : t y p e = " M e a s u r e G r i d N o d e V i e w S t a t e " > < C o l u m n > 5 < / C o l u m n > < L a y e d O u t > t r u e < / L a y e d O u t > < / a : V a l u e > < / a : K e y V a l u e O f D i a g r a m O b j e c t K e y a n y T y p e z b w N T n L X > < a : K e y V a l u e O f D i a g r a m O b j e c t K e y a n y T y p e z b w N T n L X > < a : K e y > < K e y > C o l u m n s \ C r e d i t   S c o r e   G r o u p < / K e y > < / a : K e y > < a : V a l u e   i : t y p e = " M e a s u r e G r i d N o d e V i e w S t a t e " > < C o l u m n > 6 < / C o l u m n > < L a y e d O u t > t r u e < / L a y e d O u t > < / a : V a l u e > < / a : K e y V a l u e O f D i a g r a m O b j e c t K e y a n y T y p e z b w N T n L X > < / V i e w S t a t e s > < / D i a g r a m M a n a g e r . S e r i a l i z a b l e D i a g r a m > < D i a g r a m M a n a g e r . S e r i a l i z a b l e D i a g r a m > < A d a p t e r   i : t y p e = " M e a s u r e D i a g r a m S a n d b o x A d a p t e r " > < T a b l e N a m e > p e r f o r m a n c e 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 p e r f o r m a n c e 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 C a r d   I D < / K e y > < / D i a g r a m O b j e c t K e y > < D i a g r a m O b j e c t K e y > < K e y > M e a s u r e s \ C o u n t   o f   C a r d   I D \ T a g I n f o \ F o r m u l a < / K e y > < / D i a g r a m O b j e c t K e y > < D i a g r a m O b j e c t K e y > < K e y > M e a s u r e s \ C o u n t   o f   C a r d   I D \ T a g I n f o \ V a l u e < / K e y > < / D i a g r a m O b j e c t K e y > < D i a g r a m O b j e c t K e y > < K e y > M e a s u r e s \ S u m   o f   B a l a n c e < / K e y > < / D i a g r a m O b j e c t K e y > < D i a g r a m O b j e c t K e y > < K e y > M e a s u r e s \ S u m   o f   B a l a n c e \ T a g I n f o \ F o r m u l a < / K e y > < / D i a g r a m O b j e c t K e y > < D i a g r a m O b j e c t K e y > < K e y > M e a s u r e s \ S u m   o f   B a l a n c e \ T a g I n f o \ V a l u e < / K e y > < / D i a g r a m O b j e c t K e y > < D i a g r a m O b j e c t K e y > < K e y > C o l u m n s \ C a r d   I D < / K e y > < / D i a g r a m O b j e c t K e y > < D i a g r a m O b j e c t K e y > < K e y > C o l u m n s \ M o n t h < / K e y > < / D i a g r a m O b j e c t K e y > < D i a g r a m O b j e c t K e y > < K e y > C o l u m n s \ C y c l e < / K e y > < / D i a g r a m O b j e c t K e y > < D i a g r a m O b j e c t K e y > < K e y > C o l u m n s \ B a l a n c e < / K e y > < / D i a g r a m O b j e c t K e y > < D i a g r a m O b j e c t K e y > < K e y > C o l u m n s \ C r e d i t   L i m i t < / K e y > < / D i a g r a m O b j e c t K e y > < D i a g r a m O b j e c t K e y > < K e y > C o l u m n s \ U t i l i z a t i o n < / K e y > < / D i a g r a m O b j e c t K e y > < D i a g r a m O b j e c t K e y > < K e y > C o l u m n s \ U t i l i z a t i o n   G r o u p < / K e y > < / D i a g r a m O b j e c t K e y > < D i a g r a m O b j e c t K e y > < K e y > C o l u m n s \ Y e a r s   o n   B o o k < / K e y > < / D i a g r a m O b j e c t K e y > < D i a g r a m O b j e c t K e y > < K e y > C o l u m n s \ M o n t h   ( M o n t h   I n d e x ) < / K e y > < / D i a g r a m O b j e c t K e y > < D i a g r a m O b j e c t K e y > < K e y > L i n k s \ & l t ; C o l u m n s \ C o u n t   o f   C a r d   I D & g t ; - & l t ; M e a s u r e s \ C a r d   I D & g t ; < / K e y > < / D i a g r a m O b j e c t K e y > < D i a g r a m O b j e c t K e y > < K e y > L i n k s \ & l t ; C o l u m n s \ C o u n t   o f   C a r d   I D & g t ; - & l t ; M e a s u r e s \ C a r d   I D & g t ; \ C O L U M N < / K e y > < / D i a g r a m O b j e c t K e y > < D i a g r a m O b j e c t K e y > < K e y > L i n k s \ & l t ; C o l u m n s \ C o u n t   o f   C a r d   I D & g t ; - & l t ; M e a s u r e s \ C a r d   I D & g t ; \ M E A S U R E < / K e y > < / D i a g r a m O b j e c t K e y > < D i a g r a m O b j e c t K e y > < K e y > L i n k s \ & l t ; C o l u m n s \ S u m   o f   B a l a n c e & g t ; - & l t ; M e a s u r e s \ B a l a n c e & g t ; < / K e y > < / D i a g r a m O b j e c t K e y > < D i a g r a m O b j e c t K e y > < K e y > L i n k s \ & l t ; C o l u m n s \ S u m   o f   B a l a n c e & g t ; - & l t ; M e a s u r e s \ B a l a n c e & g t ; \ C O L U M N < / K e y > < / D i a g r a m O b j e c t K e y > < D i a g r a m O b j e c t K e y > < K e y > L i n k s \ & l t ; C o l u m n s \ S u m   o f   B a l a n c e & g t ; - & l t ; M e a s u r e s \ B a l a n c e & g t ; \ M E A S U R E 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 C a r d   I D < / K e y > < / a : K e y > < a : V a l u e   i : t y p e = " M e a s u r e G r i d N o d e V i e w S t a t e " > < L a y e d O u t > t r u e < / L a y e d O u t > < W a s U I I n v i s i b l e > t r u e < / W a s U I I n v i s i b l e > < / a : V a l u e > < / a : K e y V a l u e O f D i a g r a m O b j e c t K e y a n y T y p e z b w N T n L X > < a : K e y V a l u e O f D i a g r a m O b j e c t K e y a n y T y p e z b w N T n L X > < a : K e y > < K e y > M e a s u r e s \ C o u n t   o f   C a r d   I D \ T a g I n f o \ F o r m u l a < / K e y > < / a : K e y > < a : V a l u e   i : t y p e = " M e a s u r e G r i d V i e w S t a t e I D i a g r a m T a g A d d i t i o n a l I n f o " / > < / a : K e y V a l u e O f D i a g r a m O b j e c t K e y a n y T y p e z b w N T n L X > < a : K e y V a l u e O f D i a g r a m O b j e c t K e y a n y T y p e z b w N T n L X > < a : K e y > < K e y > M e a s u r e s \ C o u n t   o f   C a r d   I D \ T a g I n f o \ V a l u e < / K e y > < / a : K e y > < a : V a l u e   i : t y p e = " M e a s u r e G r i d V i e w S t a t e I D i a g r a m T a g A d d i t i o n a l I n f o " / > < / a : K e y V a l u e O f D i a g r a m O b j e c t K e y a n y T y p e z b w N T n L X > < a : K e y V a l u e O f D i a g r a m O b j e c t K e y a n y T y p e z b w N T n L X > < a : K e y > < K e y > M e a s u r e s \ S u m   o f   B a l a n c e < / K e y > < / a : K e y > < a : V a l u e   i : t y p e = " M e a s u r e G r i d N o d e V i e w S t a t e " > < C o l u m n > 3 < / C o l u m n > < L a y e d O u t > t r u e < / L a y e d O u t > < W a s U I I n v i s i b l e > t r u e < / W a s U I I n v i s i b l e > < / a : V a l u e > < / a : K e y V a l u e O f D i a g r a m O b j e c t K e y a n y T y p e z b w N T n L X > < a : K e y V a l u e O f D i a g r a m O b j e c t K e y a n y T y p e z b w N T n L X > < a : K e y > < K e y > M e a s u r e s \ S u m   o f   B a l a n c e \ T a g I n f o \ F o r m u l a < / K e y > < / a : K e y > < a : V a l u e   i : t y p e = " M e a s u r e G r i d V i e w S t a t e I D i a g r a m T a g A d d i t i o n a l I n f o " / > < / a : K e y V a l u e O f D i a g r a m O b j e c t K e y a n y T y p e z b w N T n L X > < a : K e y V a l u e O f D i a g r a m O b j e c t K e y a n y T y p e z b w N T n L X > < a : K e y > < K e y > M e a s u r e s \ S u m   o f   B a l a n c e \ T a g I n f o \ V a l u e < / K e y > < / a : K e y > < a : V a l u e   i : t y p e = " M e a s u r e G r i d V i e w S t a t e I D i a g r a m T a g A d d i t i o n a l I n f o " / > < / a : K e y V a l u e O f D i a g r a m O b j e c t K e y a n y T y p e z b w N T n L X > < a : K e y V a l u e O f D i a g r a m O b j e c t K e y a n y T y p e z b w N T n L X > < a : K e y > < K e y > C o l u m n s \ C a r d   I D < / 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 C o l u m n s \ C y c l e < / K e y > < / a : K e y > < a : V a l u e   i : t y p e = " M e a s u r e G r i d N o d e V i e w S t a t e " > < C o l u m n > 2 < / C o l u m n > < L a y e d O u t > t r u e < / L a y e d O u t > < / a : V a l u e > < / a : K e y V a l u e O f D i a g r a m O b j e c t K e y a n y T y p e z b w N T n L X > < a : K e y V a l u e O f D i a g r a m O b j e c t K e y a n y T y p e z b w N T n L X > < a : K e y > < K e y > C o l u m n s \ B a l a n c e < / K e y > < / a : K e y > < a : V a l u e   i : t y p e = " M e a s u r e G r i d N o d e V i e w S t a t e " > < C o l u m n > 3 < / C o l u m n > < L a y e d O u t > t r u e < / L a y e d O u t > < / a : V a l u e > < / a : K e y V a l u e O f D i a g r a m O b j e c t K e y a n y T y p e z b w N T n L X > < a : K e y V a l u e O f D i a g r a m O b j e c t K e y a n y T y p e z b w N T n L X > < a : K e y > < K e y > C o l u m n s \ C r e d i t   L i m i t < / K e y > < / a : K e y > < a : V a l u e   i : t y p e = " M e a s u r e G r i d N o d e V i e w S t a t e " > < C o l u m n > 4 < / C o l u m n > < L a y e d O u t > t r u e < / L a y e d O u t > < / a : V a l u e > < / a : K e y V a l u e O f D i a g r a m O b j e c t K e y a n y T y p e z b w N T n L X > < a : K e y V a l u e O f D i a g r a m O b j e c t K e y a n y T y p e z b w N T n L X > < a : K e y > < K e y > C o l u m n s \ U t i l i z a t i o n < / K e y > < / a : K e y > < a : V a l u e   i : t y p e = " M e a s u r e G r i d N o d e V i e w S t a t e " > < C o l u m n > 5 < / C o l u m n > < L a y e d O u t > t r u e < / L a y e d O u t > < / a : V a l u e > < / a : K e y V a l u e O f D i a g r a m O b j e c t K e y a n y T y p e z b w N T n L X > < a : K e y V a l u e O f D i a g r a m O b j e c t K e y a n y T y p e z b w N T n L X > < a : K e y > < K e y > C o l u m n s \ U t i l i z a t i o n   G r o u p < / K e y > < / a : K e y > < a : V a l u e   i : t y p e = " M e a s u r e G r i d N o d e V i e w S t a t e " > < C o l u m n > 6 < / C o l u m n > < L a y e d O u t > t r u e < / L a y e d O u t > < / a : V a l u e > < / a : K e y V a l u e O f D i a g r a m O b j e c t K e y a n y T y p e z b w N T n L X > < a : K e y V a l u e O f D i a g r a m O b j e c t K e y a n y T y p e z b w N T n L X > < a : K e y > < K e y > C o l u m n s \ Y e a r s   o n   B o o k < / K e y > < / a : K e y > < a : V a l u e   i : t y p e = " M e a s u r e G r i d N o d e V i e w S t a t e " > < C o l u m n > 7 < / C o l u m n > < L a y e d O u t > t r u e < / L a y e d O u t > < / a : V a l u e > < / a : K e y V a l u e O f D i a g r a m O b j e c t K e y a n y T y p e z b w N T n L X > < a : K e y V a l u e O f D i a g r a m O b j e c t K e y a n y T y p e z b w N T n L X > < a : K e y > < K e y > C o l u m n s \ M o n t h   ( M o n t h   I n d e x ) < / K e y > < / a : K e y > < a : V a l u e   i : t y p e = " M e a s u r e G r i d N o d e V i e w S t a t e " > < C o l u m n > 8 < / C o l u m n > < L a y e d O u t > t r u e < / L a y e d O u t > < / a : V a l u e > < / a : K e y V a l u e O f D i a g r a m O b j e c t K e y a n y T y p e z b w N T n L X > < a : K e y V a l u e O f D i a g r a m O b j e c t K e y a n y T y p e z b w N T n L X > < a : K e y > < K e y > L i n k s \ & l t ; C o l u m n s \ C o u n t   o f   C a r d   I D & g t ; - & l t ; M e a s u r e s \ C a r d   I D & g t ; < / K e y > < / a : K e y > < a : V a l u e   i : t y p e = " M e a s u r e G r i d V i e w S t a t e I D i a g r a m L i n k " / > < / a : K e y V a l u e O f D i a g r a m O b j e c t K e y a n y T y p e z b w N T n L X > < a : K e y V a l u e O f D i a g r a m O b j e c t K e y a n y T y p e z b w N T n L X > < a : K e y > < K e y > L i n k s \ & l t ; C o l u m n s \ C o u n t   o f   C a r d   I D & g t ; - & l t ; M e a s u r e s \ C a r d   I D & g t ; \ C O L U M N < / K e y > < / a : K e y > < a : V a l u e   i : t y p e = " M e a s u r e G r i d V i e w S t a t e I D i a g r a m L i n k E n d p o i n t " / > < / a : K e y V a l u e O f D i a g r a m O b j e c t K e y a n y T y p e z b w N T n L X > < a : K e y V a l u e O f D i a g r a m O b j e c t K e y a n y T y p e z b w N T n L X > < a : K e y > < K e y > L i n k s \ & l t ; C o l u m n s \ C o u n t   o f   C a r d   I D & g t ; - & l t ; M e a s u r e s \ C a r d   I D & g t ; \ M E A S U R E < / K e y > < / a : K e y > < a : V a l u e   i : t y p e = " M e a s u r e G r i d V i e w S t a t e I D i a g r a m L i n k E n d p o i n t " / > < / a : K e y V a l u e O f D i a g r a m O b j e c t K e y a n y T y p e z b w N T n L X > < a : K e y V a l u e O f D i a g r a m O b j e c t K e y a n y T y p e z b w N T n L X > < a : K e y > < K e y > L i n k s \ & l t ; C o l u m n s \ S u m   o f   B a l a n c e & g t ; - & l t ; M e a s u r e s \ B a l a n c e & g t ; < / K e y > < / a : K e y > < a : V a l u e   i : t y p e = " M e a s u r e G r i d V i e w S t a t e I D i a g r a m L i n k " / > < / a : K e y V a l u e O f D i a g r a m O b j e c t K e y a n y T y p e z b w N T n L X > < a : K e y V a l u e O f D i a g r a m O b j e c t K e y a n y T y p e z b w N T n L X > < a : K e y > < K e y > L i n k s \ & l t ; C o l u m n s \ S u m   o f   B a l a n c e & g t ; - & l t ; M e a s u r e s \ B a l a n c e & g t ; \ C O L U M N < / K e y > < / a : K e y > < a : V a l u e   i : t y p e = " M e a s u r e G r i d V i e w S t a t e I D i a g r a m L i n k E n d p o i n t " / > < / a : K e y V a l u e O f D i a g r a m O b j e c t K e y a n y T y p e z b w N T n L X > < a : K e y V a l u e O f D i a g r a m O b j e c t K e y a n y T y p e z b w N T n L X > < a : K e y > < K e y > L i n k s \ & l t ; C o l u m n s \ S u m   o f   B a l a n c e & g t ; - & l t ; M e a s u r e s \ B a l a n c e & g t ; \ M E A S U R E < / K e y > < / a : K e y > < a : V a l u e   i : t y p e = " M e a s u r e G r i d V i e w S t a t e I D i a g r a m L i n k E n d p o i n t " / > < / a : K e y V a l u e O f D i a g r a m O b j e c t K e y a n y T y p e z b w N T n L X > < / V i e w S t a t e s > < / D i a g r a m M a n a g e r . S e r i a l i z a b l e D i a g r a m > < / A r r a y O f D i a g r a m M a n a g e r . S e r i a l i z a b l e D i a g r a m > ] ] > < / 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 a p p l i c a t i o n _ u n i q u e 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 a p p l i c a t i o n _ u n i q u e 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 C o l u m n s \ C a r d   I D < / K e y > < / a : K e y > < a : V a l u e   i : t y p e = " T a b l e W i d g e t B a s e V i e w S t a t e " / > < / a : K e y V a l u e O f D i a g r a m O b j e c t K e y a n y T y p e z b w N T n L X > < a : K e y V a l u e O f D i a g r a m O b j e c t K e y a n y T y p e z b w N T n L X > < a : K e y > < K e y > C o l u m n s \ M o n t h   O p e n e d < / K e y > < / a : K e y > < a : V a l u e   i : t y p e = " T a b l e W i d g e t B a s e V i e w S t a t e " / > < / a : K e y V a l u e O f D i a g r a m O b j e c t K e y a n y T y p e z b w N T n L X > < a : K e y V a l u e O f D i a g r a m O b j e c t K e y a n y T y p e z b w N T n L X > < a : K e y > < K e y > C o l u m n s \ P r o v i n c e < / K e y > < / a : K e y > < a : V a l u e   i : t y p e = " T a b l e W i d g e t B a s e V i e w S t a t e " / > < / a : K e y V a l u e O f D i a g r a m O b j e c t K e y a n y T y p e z b w N T n L X > < a : K e y V a l u e O f D i a g r a m O b j e c t K e y a n y T y p e z b w N T n L X > < a : K e y > < K e y > C o l u m n s \ D e b t   S e r v i c e   R a t i o < / K e y > < / a : K e y > < a : V a l u e   i : t y p e = " T a b l e W i d g e t B a s e V i e w S t a t e " / > < / a : K e y V a l u e O f D i a g r a m O b j e c t K e y a n y T y p e z b w N T n L X > < a : K e y V a l u e O f D i a g r a m O b j e c t K e y a n y T y p e z b w N T n L X > < a : K e y > < K e y > C o l u m n s \ C r e d i t   S c o r e < / K e y > < / a : K e y > < a : V a l u e   i : t y p e = " T a b l e W i d g e t B a s e V i e w S t a t e " / > < / a : K e y V a l u e O f D i a g r a m O b j e c t K e y a n y T y p e z b w N T n L X > < a : K e y V a l u e O f D i a g r a m O b j e c t K e y a n y T y p e z b w N T n L X > < a : K e y > < K e y > C o l u m n s \ D S R   G r o u p < / K e y > < / a : K e y > < a : V a l u e   i : t y p e = " T a b l e W i d g e t B a s e V i e w S t a t e " / > < / a : K e y V a l u e O f D i a g r a m O b j e c t K e y a n y T y p e z b w N T n L X > < a : K e y V a l u e O f D i a g r a m O b j e c t K e y a n y T y p e z b w N T n L X > < a : K e y > < K e y > C o l u m n s \ C r e d i t   S c o r e   G r o u p 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 c r e d i t _ r e c o r d 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 c r e d i t _ r e c o r d 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 C o l u m n s \ C a r d   I D < / K e y > < / a : K e y > < a : V a l u e   i : t y p e = " T a b l e W i d g e t B a s e V i e w S t a t e " / > < / a : K e y V a l u e O f D i a g r a m O b j e c t K e y a n y T y p e z b w N T n L X > < a : K e y V a l u e O f D i a g r a m O b j e c t K e y a n y T y p e z b w N T n L X > < a : K e y > < K e y > C o l u m n s \ R e p o r t   D a t e < / K e y > < / a : K e y > < a : V a l u e   i : t y p e = " T a b l e W i d g e t B a s e V i e w S t a t e " / > < / a : K e y V a l u e O f D i a g r a m O b j e c t K e y a n y T y p e z b w N T n L X > < a : K e y V a l u e O f D i a g r a m O b j e c t K e y a n y T y p e z b w N T n L X > < a : K e y > < K e y > C o l u m n s \ C y c l e < / K e y > < / a : K e y > < a : V a l u e   i : t y p e = " T a b l e W i d g e t B a s e V i e w S t a t e " / > < / a : K e y V a l u e O f D i a g r a m O b j e c t K e y a n y T y p e z b w N T n L X > < a : K e y V a l u e O f D i a g r a m O b j e c t K e y a n y T y p e z b w N T n L X > < a : K e y > < K e y > C o l u m n s \ B a l a n c e < / K e y > < / a : K e y > < a : V a l u e   i : t y p e = " T a b l e W i d g e t B a s e V i e w S t a t e " / > < / a : K e y V a l u e O f D i a g r a m O b j e c t K e y a n y T y p e z b w N T n L X > < a : K e y V a l u e O f D i a g r a m O b j e c t K e y a n y T y p e z b w N T n L X > < a : K e y > < K e y > C o l u m n s \ C r e d i t   L i m i t < / K e y > < / a : K e y > < a : V a l u e   i : t y p e = " T a b l e W i d g e t B a s e V i e w S t a t e " / > < / a : K e y V a l u e O f D i a g r a m O b j e c t K e y a n y T y p e z b w N T n L X > < a : K e y V a l u e O f D i a g r a m O b j e c t K e y a n y T y p e z b w N T n L X > < a : K e y > < K e y > C o l u m n s \ U t i l i z a t i o n < / K e y > < / a : K e y > < a : V a l u e   i : t y p e = " T a b l e W i d g e t B a s e V i e w S t a t e " / > < / a : K e y V a l u e O f D i a g r a m O b j e c t K e y a n y T y p e z b w N T n L X > < a : K e y V a l u e O f D i a g r a m O b j e c t K e y a n y T y p e z b w N T n L X > < a : K e y > < K e y > C o l u m n s \ U t i l i z a t i o n   G r o u p < / K e y > < / a : K e y > < a : V a l u e   i : t y p e = " T a b l e W i d g e t B a s e V i e w S t a t e " / > < / a : K e y V a l u e O f D i a g r a m O b j e c t K e y a n y T y p e z b w N T n L X > < a : K e y V a l u e O f D i a g r a m O b j e c t K e y a n y T y p e z b w N T n L X > < a : K e y > < K e y > C o l u m n s \ Y e a r s   o n   B o o k 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 a p p l i c a t i o n _ r e c o r d _ u n i q u e 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 a p p l i c a t i o n _ r e c o r d _ u n i q u e 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 C o l u m n s \ C a r d   I D < / K e y > < / a : K e y > < a : V a l u e   i : t y p e = " T a b l e W i d g e t B a s e V i e w S t a t e " / > < / a : K e y V a l u e O f D i a g r a m O b j e c t K e y a n y T y p e z b w N T n L X > < a : K e y V a l u e O f D i a g r a m O b j e c t K e y a n y T y p e z b w N T n L X > < a : K e y > < K e y > C o l u m n s \ O p e n   M o n t h < / K e y > < / a : K e y > < a : V a l u e   i : t y p e = " T a b l e W i d g e t B a s e V i e w S t a t e " / > < / a : K e y V a l u e O f D i a g r a m O b j e c t K e y a n y T y p e z b w N T n L X > < a : K e y V a l u e O f D i a g r a m O b j e c t K e y a n y T y p e z b w N T n L X > < a : K e y > < K e y > C o l u m n s \ P r o v i n c e < / K e y > < / a : K e y > < a : V a l u e   i : t y p e = " T a b l e W i d g e t B a s e V i e w S t a t e " / > < / a : K e y V a l u e O f D i a g r a m O b j e c t K e y a n y T y p e z b w N T n L X > < a : K e y V a l u e O f D i a g r a m O b j e c t K e y a n y T y p e z b w N T n L X > < a : K e y > < K e y > C o l u m n s \ D e b t   S e r v i c e   R a t i o < / K e y > < / a : K e y > < a : V a l u e   i : t y p e = " T a b l e W i d g e t B a s e V i e w S t a t e " / > < / a : K e y V a l u e O f D i a g r a m O b j e c t K e y a n y T y p e z b w N T n L X > < a : K e y V a l u e O f D i a g r a m O b j e c t K e y a n y T y p e z b w N T n L X > < a : K e y > < K e y > C o l u m n s \ C r e d i t   S c o r e < / K e y > < / a : K e y > < a : V a l u e   i : t y p e = " T a b l e W i d g e t B a s e V i e w S t a t e " / > < / a : K e y V a l u e O f D i a g r a m O b j e c t K e y a n y T y p e z b w N T n L X > < a : K e y V a l u e O f D i a g r a m O b j e c t K e y a n y T y p e z b w N T n L X > < a : K e y > < K e y > C o l u m n s \ D S R   G r o u p < / K e y > < / a : K e y > < a : V a l u e   i : t y p e = " T a b l e W i d g e t B a s e V i e w S t a t e " / > < / a : K e y V a l u e O f D i a g r a m O b j e c t K e y a n y T y p e z b w N T n L X > < a : K e y V a l u e O f D i a g r a m O b j e c t K e y a n y T y p e z b w N T n L X > < a : K e y > < K e y > C o l u m n s \ C r e d i t   S c o r e   G r o u p 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 p e r f o r m a n c e 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 p e r f o r m a n c e 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 C o l u m n s \ C a r d   I D < / 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 C o l u m n s \ C y c l e < / K e y > < / a : K e y > < a : V a l u e   i : t y p e = " T a b l e W i d g e t B a s e V i e w S t a t e " / > < / a : K e y V a l u e O f D i a g r a m O b j e c t K e y a n y T y p e z b w N T n L X > < a : K e y V a l u e O f D i a g r a m O b j e c t K e y a n y T y p e z b w N T n L X > < a : K e y > < K e y > C o l u m n s \ B a l a n c e < / K e y > < / a : K e y > < a : V a l u e   i : t y p e = " T a b l e W i d g e t B a s e V i e w S t a t e " / > < / a : K e y V a l u e O f D i a g r a m O b j e c t K e y a n y T y p e z b w N T n L X > < a : K e y V a l u e O f D i a g r a m O b j e c t K e y a n y T y p e z b w N T n L X > < a : K e y > < K e y > C o l u m n s \ C r e d i t   L i m i t < / K e y > < / a : K e y > < a : V a l u e   i : t y p e = " T a b l e W i d g e t B a s e V i e w S t a t e " / > < / a : K e y V a l u e O f D i a g r a m O b j e c t K e y a n y T y p e z b w N T n L X > < a : K e y V a l u e O f D i a g r a m O b j e c t K e y a n y T y p e z b w N T n L X > < a : K e y > < K e y > C o l u m n s \ U t i l i z a t i o n < / K e y > < / a : K e y > < a : V a l u e   i : t y p e = " T a b l e W i d g e t B a s e V i e w S t a t e " / > < / a : K e y V a l u e O f D i a g r a m O b j e c t K e y a n y T y p e z b w N T n L X > < a : K e y V a l u e O f D i a g r a m O b j e c t K e y a n y T y p e z b w N T n L X > < a : K e y > < K e y > C o l u m n s \ U t i l i z a t i o n   G r o u p < / K e y > < / a : K e y > < a : V a l u e   i : t y p e = " T a b l e W i d g e t B a s e V i e w S t a t e " / > < / a : K e y V a l u e O f D i a g r a m O b j e c t K e y a n y T y p e z b w N T n L X > < a : K e y V a l u e O f D i a g r a m O b j e c t K e y a n y T y p e z b w N T n L X > < a : K e y > < K e y > C o l u m n s \ Y e a r s   o n   B o o k < / K e y > < / a : K e y > < a : V a l u e   i : t y p e = " T a b l e W i d g e t B a s e V i e w S t a t e " / > < / a : K e y V a l u e O f D i a g r a m O b j e c t K e y a n y T y p e z b w N T n L X > < a : K e y V a l u e O f D i a g r a m O b j e c t K e y a n y T y p e z b w N T n L X > < a : K e y > < K e y > C o l u m n s \ M o n t h   ( M o n t h   I n d e x ) < / K e y > < / a : K e y > < a : V a l u e   i : t y p e = " T a b l e W i d g e t B a s e V i e w S t a t e " / > < / a : K e y V a l u e O f D i a g r a m O b j e c t K e y a n y T y p e z b w N T n L X > < a : K e y V a l u e O f D i a g r a m O b j e c t K e y a n y T y p e z b w N T n L X > < a : K e y > < K e y > C o l u m n s \ M o n t h 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 p e r f o r m a n c e _ 3 2 2 6 1 6 2 8 - 9 6 0 8 - 4 3 4 6 - a 9 6 6 - f a 7 d 2 a 3 4 1 2 a 8 < / K e y > < V a l u e   x m l n s : a = " h t t p : / / s c h e m a s . d a t a c o n t r a c t . o r g / 2 0 0 4 / 0 7 / M i c r o s o f t . A n a l y s i s S e r v i c e s . C o m m o n " > < a : H a s F o c u s > f a l s e < / a : H a s F o c u s > < a : S i z e A t D p i 9 6 > 1 1 7 < / a : S i z e A t D p i 9 6 > < a : V i s i b l e > t r u e < / a : V i s i b l e > < / V a l u e > < / K e y V a l u e O f s t r i n g S a n d b o x E d i t o r . M e a s u r e G r i d S t a t e S c d E 3 5 R y > < K e y V a l u e O f s t r i n g S a n d b o x E d i t o r . M e a s u r e G r i d S t a t e S c d E 3 5 R y > < K e y > a p p l i c a t i o n _ u n i q u e _ 6 3 7 1 b c b 2 - c d 1 1 - 4 1 f 6 - 9 2 b 9 - b 1 1 6 5 d 6 b b 3 9 f < / 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18.xml>��< ? x m l   v e r s i o n = " 1 . 0 "   e n c o d i n g = " U T F - 1 6 " ? > < G e m i n i   x m l n s = " h t t p : / / g e m i n i / p i v o t c u s t o m i z a t i o n / S a n d b o x N o n E m p t y " > < C u s t o m C o n t e n t > < ! [ C D A T A [ 1 ] ] > < / 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X M L _ a p p l i c a t i o n _ r e c o r d _ u n i q u e _ c 0 a 7 b 6 e f - a f 1 a - 4 8 d 0 - 9 e 4 6 - c 3 2 2 f 2 4 2 1 d 5 b " > < C u s t o m C o n t e n t > < ! [ C D A T A [ < T a b l e W i d g e t G r i d S e r i a l i z a t i o n   x m l n s : x s d = " h t t p : / / w w w . w 3 . o r g / 2 0 0 1 / X M L S c h e m a "   x m l n s : x s i = " h t t p : / / w w w . w 3 . o r g / 2 0 0 1 / X M L S c h e m a - i n s t a n c e " > < C o l u m n S u g g e s t e d T y p e   / > < C o l u m n F o r m a t   / > < C o l u m n A c c u r a c y   / > < C o l u m n C u r r e n c y S y m b o l   / > < C o l u m n P o s i t i v e P a t t e r n   / > < C o l u m n N e g a t i v e P a t t e r n   / > < C o l u m n W i d t h s > < i t e m > < k e y > < s t r i n g > C a r d   I D < / s t r i n g > < / k e y > < v a l u e > < i n t > 8 0 < / i n t > < / v a l u e > < / i t e m > < i t e m > < k e y > < s t r i n g > O p e n   M o n t h < / s t r i n g > < / k e y > < v a l u e > < i n t > 1 1 4 < / i n t > < / v a l u e > < / i t e m > < i t e m > < k e y > < s t r i n g > P r o v i n c e < / s t r i n g > < / k e y > < v a l u e > < i n t > 9 0 < / i n t > < / v a l u e > < / i t e m > < i t e m > < k e y > < s t r i n g > D e b t   S e r v i c e   R a t i o < / s t r i n g > < / k e y > < v a l u e > < i n t > 1 4 8 < / i n t > < / v a l u e > < / i t e m > < i t e m > < k e y > < s t r i n g > C r e d i t   S c o r e < / s t r i n g > < / k e y > < v a l u e > < i n t > 1 1 1 < / i n t > < / v a l u e > < / i t e m > < i t e m > < k e y > < s t r i n g > D S R   G r o u p < / s t r i n g > < / k e y > < v a l u e > < i n t > 1 0 1 < / i n t > < / v a l u e > < / i t e m > < i t e m > < k e y > < s t r i n g > C r e d i t   S c o r e   G r o u p < / s t r i n g > < / k e y > < v a l u e > < i n t > 1 5 2 < / i n t > < / v a l u e > < / i t e m > < / C o l u m n W i d t h s > < C o l u m n D i s p l a y I n d e x > < i t e m > < k e y > < s t r i n g > C a r d   I D < / s t r i n g > < / k e y > < v a l u e > < i n t > 0 < / i n t > < / v a l u e > < / i t e m > < i t e m > < k e y > < s t r i n g > O p e n   M o n t h < / s t r i n g > < / k e y > < v a l u e > < i n t > 1 < / i n t > < / v a l u e > < / i t e m > < i t e m > < k e y > < s t r i n g > P r o v i n c e < / s t r i n g > < / k e y > < v a l u e > < i n t > 2 < / i n t > < / v a l u e > < / i t e m > < i t e m > < k e y > < s t r i n g > D e b t   S e r v i c e   R a t i o < / s t r i n g > < / k e y > < v a l u e > < i n t > 3 < / i n t > < / v a l u e > < / i t e m > < i t e m > < k e y > < s t r i n g > C r e d i t   S c o r e < / s t r i n g > < / k e y > < v a l u e > < i n t > 4 < / i n t > < / v a l u e > < / i t e m > < i t e m > < k e y > < s t r i n g > D S R   G r o u p < / s t r i n g > < / k e y > < v a l u e > < i n t > 5 < / i n t > < / v a l u e > < / i t e m > < i t e m > < k e y > < s t r i n g > C r e d i t   S c o r e   G r o u p < / 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P o w e r P i v o t V e r s i o n " > < C u s t o m C o n t e n t > < ! [ C D A T A [ 2 0 1 5 . 1 3 0 . 1 6 0 5 . 1 5 6 7 ] ] > < / 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 2 0 2 4 - 0 9 - 2 6 T 1 0 : 2 9 : 1 0 . 5 1 3 1 8 3 1 - 0 4 : 0 0 < / L a s t P r o c e s s e d T i m e > < / D a t a M o d e l i n g S a n d b o x . S e r i a l i z e d S a n d b o x E r r o r C a c h e > ] ] > < / C u s t o m C o n t e n t > < / G e m i n i > 
</file>

<file path=customXml/item3.xml>��< ? x m l   v e r s i o n = " 1 . 0 "   e n c o d i n g = " U T F - 1 6 " ? > < G e m i n i   x m l n s = " h t t p : / / g e m i n i / p i v o t c u s t o m i z a t i o n / T a b l e X M L _ c r e d i t _ r e c o r d _ 2 9 7 1 8 0 b a - 0 1 4 d - 4 5 1 c - a c 5 7 - 9 9 1 9 9 3 3 9 2 0 4 4 " > < C u s t o m C o n t e n t > < ! [ C D A T A [ < T a b l e W i d g e t G r i d S e r i a l i z a t i o n   x m l n s : x s d = " h t t p : / / w w w . w 3 . o r g / 2 0 0 1 / X M L S c h e m a "   x m l n s : x s i = " h t t p : / / w w w . w 3 . o r g / 2 0 0 1 / X M L S c h e m a - i n s t a n c e " > < C o l u m n S u g g e s t e d T y p e > < i t e m > < k e y > < s t r i n g > Y e a r s   o n   B o o k < / s t r i n g > < / k e y > < v a l u e > < s t r i n g > E m p t y < / s t r i n g > < / v a l u e > < / i t e m > < / C o l u m n S u g g e s t e d T y p e > < C o l u m n F o r m a t   / > < C o l u m n A c c u r a c y   / > < C o l u m n C u r r e n c y S y m b o l   / > < C o l u m n P o s i t i v e P a t t e r n   / > < C o l u m n N e g a t i v e P a t t e r n   / > < C o l u m n W i d t h s > < i t e m > < k e y > < s t r i n g > C a r d   I D < / s t r i n g > < / k e y > < v a l u e > < i n t > 8 1 < / i n t > < / v a l u e > < / i t e m > < i t e m > < k e y > < s t r i n g > R e p o r t   D a t e < / s t r i n g > < / k e y > < v a l u e > < i n t > 1 1 0 < / i n t > < / v a l u e > < / i t e m > < i t e m > < k e y > < s t r i n g > C y c l e < / s t r i n g > < / k e y > < v a l u e > < i n t > 6 9 < / i n t > < / v a l u e > < / i t e m > < i t e m > < k e y > < s t r i n g > B a l a n c e < / s t r i n g > < / k e y > < v a l u e > < i n t > 8 4 < / i n t > < / v a l u e > < / i t e m > < i t e m > < k e y > < s t r i n g > C r e d i t   L i m i t < / s t r i n g > < / k e y > < v a l u e > < i n t > 1 0 8 < / i n t > < / v a l u e > < / i t e m > < i t e m > < k e y > < s t r i n g > U t i l i z a t i o n < / s t r i n g > < / k e y > < v a l u e > < i n t > 9 8 < / i n t > < / v a l u e > < / i t e m > < i t e m > < k e y > < s t r i n g > U t i l i z a t i o n   G r o u p < / s t r i n g > < / k e y > < v a l u e > < i n t > 1 3 9 < / i n t > < / v a l u e > < / i t e m > < i t e m > < k e y > < s t r i n g > Y e a r s   o n   B o o k < / s t r i n g > < / k e y > < v a l u e > < i n t > 1 2 8 < / i n t > < / v a l u e > < / i t e m > < / C o l u m n W i d t h s > < C o l u m n D i s p l a y I n d e x > < i t e m > < k e y > < s t r i n g > C a r d   I D < / s t r i n g > < / k e y > < v a l u e > < i n t > 0 < / i n t > < / v a l u e > < / i t e m > < i t e m > < k e y > < s t r i n g > R e p o r t   D a t e < / s t r i n g > < / k e y > < v a l u e > < i n t > 1 < / i n t > < / v a l u e > < / i t e m > < i t e m > < k e y > < s t r i n g > C y c l e < / s t r i n g > < / k e y > < v a l u e > < i n t > 2 < / i n t > < / v a l u e > < / i t e m > < i t e m > < k e y > < s t r i n g > B a l a n c e < / s t r i n g > < / k e y > < v a l u e > < i n t > 3 < / i n t > < / v a l u e > < / i t e m > < i t e m > < k e y > < s t r i n g > C r e d i t   L i m i t < / s t r i n g > < / k e y > < v a l u e > < i n t > 4 < / i n t > < / v a l u e > < / i t e m > < i t e m > < k e y > < s t r i n g > U t i l i z a t i o n < / s t r i n g > < / k e y > < v a l u e > < i n t > 5 < / i n t > < / v a l u e > < / i t e m > < i t e m > < k e y > < s t r i n g > U t i l i z a t i o n   G r o u p < / s t r i n g > < / k e y > < v a l u e > < i n t > 6 < / i n t > < / v a l u e > < / i t e m > < i t e m > < k e y > < s t r i n g > Y e a r s   o n   B o o k < / s t r i n g > < / k e y > < v a l u e > < i n t > 7 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a p p l i c a t i o n _ u n i q u e _ 6 3 7 1 b c b 2 - c d 1 1 - 4 1 f 6 - 9 2 b 9 - b 1 1 6 5 d 6 b b 3 9 f " > < C u s t o m C o n t e n t > < ! [ C D A T A [ < T a b l e W i d g e t G r i d S e r i a l i z a t i o n   x m l n s : x s d = " h t t p : / / w w w . w 3 . o r g / 2 0 0 1 / X M L S c h e m a "   x m l n s : x s i = " h t t p : / / w w w . w 3 . o r g / 2 0 0 1 / X M L S c h e m a - i n s t a n c e " > < C o l u m n S u g g e s t e d T y p e   / > < C o l u m n F o r m a t   / > < C o l u m n A c c u r a c y   / > < C o l u m n C u r r e n c y S y m b o l   / > < C o l u m n P o s i t i v e P a t t e r n   / > < C o l u m n N e g a t i v e P a t t e r n   / > < C o l u m n W i d t h s > < i t e m > < k e y > < s t r i n g > C a r d   I D < / s t r i n g > < / k e y > < v a l u e > < i n t > 1 0 3 < / i n t > < / v a l u e > < / i t e m > < i t e m > < k e y > < s t r i n g > M o n t h   O p e n e d < / s t r i n g > < / k e y > < v a l u e > < i n t > 1 6 9 < / i n t > < / v a l u e > < / i t e m > < i t e m > < k e y > < s t r i n g > P r o v i n c e < / s t r i n g > < / k e y > < v a l u e > < i n t > 1 1 5 < / i n t > < / v a l u e > < / i t e m > < i t e m > < k e y > < s t r i n g > D e b t   S e r v i c e   R a t i o < / s t r i n g > < / k e y > < v a l u e > < i n t > 1 9 5 < / i n t > < / v a l u e > < / i t e m > < i t e m > < k e y > < s t r i n g > C r e d i t   S c o r e < / s t r i n g > < / k e y > < v a l u e > < i n t > 1 4 5 < / i n t > < / v a l u e > < / i t e m > < i t e m > < k e y > < s t r i n g > D S R   G r o u p < / s t r i n g > < / k e y > < v a l u e > < i n t > 1 3 7 < / i n t > < / v a l u e > < / i t e m > < i t e m > < k e y > < s t r i n g > C r e d i t   S c o r e   G r o u p < / s t r i n g > < / k e y > < v a l u e > < i n t > 1 5 7 < / i n t > < / v a l u e > < / i t e m > < / C o l u m n W i d t h s > < C o l u m n D i s p l a y I n d e x > < i t e m > < k e y > < s t r i n g > C a r d   I D < / s t r i n g > < / k e y > < v a l u e > < i n t > 0 < / i n t > < / v a l u e > < / i t e m > < i t e m > < k e y > < s t r i n g > M o n t h   O p e n e d < / s t r i n g > < / k e y > < v a l u e > < i n t > 1 < / i n t > < / v a l u e > < / i t e m > < i t e m > < k e y > < s t r i n g > P r o v i n c e < / s t r i n g > < / k e y > < v a l u e > < i n t > 2 < / i n t > < / v a l u e > < / i t e m > < i t e m > < k e y > < s t r i n g > D e b t   S e r v i c e   R a t i o < / s t r i n g > < / k e y > < v a l u e > < i n t > 3 < / i n t > < / v a l u e > < / i t e m > < i t e m > < k e y > < s t r i n g > C r e d i t   S c o r e < / s t r i n g > < / k e y > < v a l u e > < i n t > 4 < / i n t > < / v a l u e > < / i t e m > < i t e m > < k e y > < s t r i n g > D S R   G r o u p < / s t r i n g > < / k e y > < v a l u e > < i n t > 5 < / i n t > < / v a l u e > < / i t e m > < i t e m > < k e y > < s t r i n g > C r e d i t   S c o r e   G r o u p < / 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4 b 9 e e e f 7 - 6 5 8 6 - 4 d 0 a - 8 3 9 d - 3 6 6 6 7 3 6 b 9 4 3 e " > < C u s t o m C o n t e n t > < ! [ C D A T A [ < ? x m l   v e r s i o n = " 1 . 0 "   e n c o d i n g = " u t f - 1 6 " ? > < S e t t i n g s > < C a l c u l a t e d F i e l d s > < i t e m > < M e a s u r e N a m e > Y e a r s   o n   B o o k < / M e a s u r e N a m e > < D i s p l a y N a m e > Y e a r s   o n   B o o k < / D i s p l a y N a m e > < V i s i b l e > F a l s e < / V i s i b l e > < / i t e m > < / C a l c u l a t e d F i e l d s > < S A H o s t H a s h > 0 < / S A H o s t H a s h > < G e m i n i F i e l d L i s t V i s i b l e > T r u e < / G e m i n i F i e l d L i s t V i s i b l e > < / S e t t i n g s > ] ] > < / C u s t o m C o n t e n t > < / G e m i n i > 
</file>

<file path=customXml/item6.xml>��< ? x m l   v e r s i o n = " 1 . 0 "   e n c o d i n g = " U T F - 1 6 " ? > < G e m i n i   x m l n s = " h t t p : / / g e m i n i / p i v o t c u s t o m i z a t i o n / e 8 2 1 a d 4 1 - 2 6 1 9 - 4 7 f 6 - 8 6 a 5 - 4 4 a 8 9 9 2 3 a 3 8 7 " > < C u s t o m C o n t e n t > < ! [ C D A T A [ < ? x m l   v e r s i o n = " 1 . 0 "   e n c o d i n g = " u t f - 1 6 " ? > < S e t t i n g s > < C a l c u l a t e d F i e l d s > < i t e m > < M e a s u r e N a m e > Y e a r s   o n   B o o k < / M e a s u r e N a m e > < D i s p l a y N a m e > Y e a r s   o n   B o o k < / D i s p l a y N a m e > < V i s i b l e > F a l s e < / V i s i b l e > < / i t e m > < / C a l c u l a t e d F i e l d s > < S A H o s t H a s h > 0 < / S A H o s t H a s h > < G e m i n i F i e l d L i s t V i s i b l e > T r u e < / G e m i n i F i e l d L i s t V i s i b l e > < / S e t t i n g s > ] ] > < / C u s t o m C o n t e n t > < / G e m i n i > 
</file>

<file path=customXml/item7.xml>��< ? x m l   v e r s i o n = " 1 . 0 "   e n c o d i n g = " U T F - 1 6 " ? > < G e m i n i   x m l n s = " h t t p : / / g e m i n i / p i v o t c u s t o m i z a t i o n / T a b l e O r d e r " > < C u s t o m C o n t e n t > < ! [ C D A T A [ a p p l i c a t i o n _ u n i q u e _ 6 3 7 1 b c b 2 - c d 1 1 - 4 1 f 6 - 9 2 b 9 - b 1 1 6 5 d 6 b b 3 9 f , p e r f o r m a n c e _ 3 2 2 6 1 6 2 8 - 9 6 0 8 - 4 3 4 6 - a 9 6 6 - f a 7 d 2 a 3 4 1 2 a 8 ] ] > < / 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9.xml>��< ? x m l   v e r s i o n = " 1 . 0 "   e n c o d i n g = " u t f - 1 6 " ? > < D a t a M a s h u p   s q m i d = " f 7 3 f 2 6 7 b - 7 b 2 2 - 4 7 f 2 - a 0 b 2 - 6 0 4 6 8 f 9 4 e 6 2 d "   x m l n s = " h t t p : / / s c h e m a s . m i c r o s o f t . c o m / D a t a M a s h u p " > A A A A A E k F A A B Q S w M E F A A C A A g A X X I 5 W U U E 8 i C j A A A A 9 g A A A B I A H A B D b 2 5 m a W c v U G F j a 2 F n Z S 5 4 b W w g o h g A K K A U A A A A A A A A A A A A A A A A A A A A A A A A A A A A h Y + x D o I w F E V / h X S n h b I Q 8 q i D q y Q m R O P a l A q N 8 D C 0 W P 7 N w U / y F 8 Q o 6 u Z 4 z z 3 D v f f r D V Z T 1 w Y X P V j T Y 0 5 i G p F A o + o r g 3 V O R n c M U 7 I S s J X q J G s d z D L a b L J V T h r n z h l j 3 n v q E 9 o P N e N R F L N D s S l V o z t J P r L 5 L 4 c G r Z O o N B G w f 4 0 R n M Y J p w l P a Q R s g V A Y / A p 8 3 v t s f y C s x 9 a N g x Y a w 1 0 J b I n A 3 h / E A 1 B L A w Q U A A I A C A B d c j l 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X X I 5 W S 9 C 1 2 l E A g A A s g Y A A B M A H A B G b 3 J t d W x h c y 9 T Z W N 0 a W 9 u M S 5 t I K I Y A C i g F A A A A A A A A A A A A A A A A A A A A A A A A A A A A O 1 U y W 7 b M B C 9 G / A / E O p F B l g B D p o e W q h A L H V x 0 y a p 5 Z s T F D Q 1 i Q l Q p E p S b g 3 D / 9 6 h J N v y E i B A r 9 V F 0 i y P b 9 5 w x g J 3 Q i u S N e / h + 3 6 v 3 7 M L Z i A n r C y l 4 K z 2 x 0 S C 6 / c I P p m u D A e 0 J H Y Z p Z p X B S g X f h I S o k Q r h z 8 2 D N J 3 9 x n I x 9 d 3 j C P S a H y f I K J w Z F Q J m Y O 5 7 2 B H 3 C 6 D A Z 2 l I E U h H J g 4 o A E l i Z Z V o W x 8 S c l H x X U u 1 F M 8 v L i 8 o O R H p R 1 k b i U h 3 n 9 G N 1 r B w 4 A 2 H F 8 F d 0 Y X 6 M v J F 2 B 4 o A 2 Q 8 J T N M b D 1 t P a w K Y e S W W u / k j L j T D J j Y 2 e q L m S y Y O o J E a e r E v Z w U 8 O U f d S m a A h 7 p w 3 P n E / X 6 y B h J i f j F K t z G E Y c / H E b S t b B d 9 R t Q W 5 L U J B v n T l z U D s R a S k U h 5 O s F O Y O G 2 e W A t s x 8 V p u Q 1 R V z M H U Q a 3 u G d f G I 4 y V e / s m 8 i Q 3 m 0 G / J 9 T Z 4 p 6 5 B T 8 r J X 5 V c P Y y d M J 2 g k 2 g 0 E u E S K v G B 5 0 u p M I 6 r M r t 9 N + r c 0 j s D M h z 9 P J d y I s p X k P p j v h h I u F 1 L 2 9 Y U U N 1 q F H C 8 j z R l X K 7 S j 4 b X Z W 7 M j q Z W B N m + l g U v o m d 6 N + 1 4 b B P m w E l F i S O Y N q t o E n J a g c m 2 n B 7 N C X A + I L M 6 p 8 H 8 o E M E c D U O h 1 S m 7 S 2 e p L C 4 y M o a d k N i F B t x l c t 1 P l a O v h H H p 9 z L V Q e j Z U C s 5 + X T B s / A J 7 6 v u / e G J 7 q f j g d t w Z H J r q y H J S f + 6 O r 2 s X t X o U S j J 9 D p v j 5 K / o v + 6 q D / X 9 f N f v q Z F E l K y 5 P t 9 Q I u X W 2 1 + l q + u Z V f P l q + g t Q S w E C L Q A U A A I A C A B d c j l Z R Q T y I K M A A A D 2 A A A A E g A A A A A A A A A A A A A A A A A A A A A A Q 2 9 u Z m l n L 1 B h Y 2 t h Z 2 U u e G 1 s U E s B A i 0 A F A A C A A g A X X I 5 W Q / K 6 a u k A A A A 6 Q A A A B M A A A A A A A A A A A A A A A A A 7 w A A A F t D b 2 5 0 Z W 5 0 X 1 R 5 c G V z X S 5 4 b W x Q S w E C L Q A U A A I A C A B d c j l Z L 0 L X a U Q C A A C y B g A A E w A A A A A A A A A A A A A A A A D g A Q A A R m 9 y b X V s Y X M v U 2 V j d G l v b j E u b V B L B Q Y A A A A A A w A D A M I A A A B x 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r J w A A A A A A A M k n 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w Z X J m b 3 J t Y W 5 j 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R X J y b 3 J D b 2 R l I i B W Y W x 1 Z T 0 i c 1 V u a 2 5 v d 2 4 i I C 8 + P E V u d H J 5 I F R 5 c G U 9 I k Z p b G x F c n J v c k N v d W 5 0 I i B W Y W x 1 Z T 0 i b D A i I C 8 + P E V u d H J 5 I F R 5 c G U 9 I k Z p b G x M Y X N 0 V X B k Y X R l Z C I g V m F s d W U 9 I m Q y M D I 0 L T A 5 L T I 1 V D E 4 O j E 4 O j U 4 L j I 2 O D k 3 N T B a I i A v P j x F b n R y e S B U e X B l P S J G a W x s Q 2 9 s d W 1 u V H l w Z X M i I F Z h b H V l P S J z Q m d r R 0 J R T T 0 i I C 8 + P E V u d H J 5 I F R 5 c G U 9 I k Z p b G x D b 2 x 1 b W 5 O Y W 1 l c y I g V m F s d W U 9 I n N b J n F 1 b 3 Q 7 Q 2 F y Z C B J R C Z x d W 9 0 O y w m c X V v d D t N b 2 5 0 a C Z x d W 9 0 O y w m c X V v d D t D e W N s Z S Z x d W 9 0 O y w m c X V v d D t C Y W x h b m N l J n F 1 b 3 Q 7 L C Z x d W 9 0 O 0 N y Z W R p d C B M a W 1 p d C Z x d W 9 0 O 1 0 i I C 8 + P E V u d H J 5 I F R 5 c G U 9 I k Z p b G x T d G F 0 d X M i I F Z h b H V l P S J z Q 2 9 t c G x l d G U i I C 8 + P E V u d H J 5 I F R 5 c G U 9 I k Z p b G x D b 3 V u d C I g V m F s d W U 9 I m w x N z g 5 N D g i I C 8 + P E V u d H J 5 I F R 5 c G U 9 I l F 1 Z X J 5 S U Q i I F Z h b H V l P S J z Z j d h O D M w N D g t Z W I x M C 0 0 Z T I 5 L W J j N T k t N 2 F i Y T d j Z j I 2 N W Z k I i A v P j x F b n R y e S B U e X B l P S J S Z W x h d G l v b n N o a X B J b m Z v Q 2 9 u d G F p b m V y I i B W Y W x 1 Z T 0 i c 3 s m c X V v d D t j b 2 x 1 b W 5 D b 3 V u d C Z x d W 9 0 O z o 1 L C Z x d W 9 0 O 2 t l e U N v b H V t b k 5 h b W V z J n F 1 b 3 Q 7 O l t d L C Z x d W 9 0 O 3 F 1 Z X J 5 U m V s Y X R p b 2 5 z a G l w c y Z x d W 9 0 O z p b X S w m c X V v d D t j b 2 x 1 b W 5 J Z G V u d G l 0 a W V z J n F 1 b 3 Q 7 O l s m c X V v d D t T Z W N 0 a W 9 u M S 9 w Z X J m b 3 J t Y W 5 j Z S 9 D a G F u Z 2 V k I F R 5 c G U u e 0 N h c m Q g S U Q s M H 0 m c X V v d D s s J n F 1 b 3 Q 7 U 2 V j d G l v b j E v c G V y Z m 9 y b W F u Y 2 U v Q 2 h h b m d l Z C B U e X B l L n t N b 2 5 0 a C w x f S Z x d W 9 0 O y w m c X V v d D t T Z W N 0 a W 9 u M S 9 w Z X J m b 3 J t Y W 5 j Z S 9 D a G F u Z 2 V k I F R 5 c G U u e 0 N 5 Y 2 x l L D J 9 J n F 1 b 3 Q 7 L C Z x d W 9 0 O 1 N l Y 3 R p b 2 4 x L 3 B l c m Z v c m 1 h b m N l L 0 N o Y W 5 n Z W Q g V H l w Z S 5 7 Q m F s Y W 5 j Z S w z f S Z x d W 9 0 O y w m c X V v d D t T Z W N 0 a W 9 u M S 9 w Z X J m b 3 J t Y W 5 j Z S 9 D a G F u Z 2 V k I F R 5 c G U u e 0 N y Z W R p d C B M a W 1 p d C w 0 f S Z x d W 9 0 O 1 0 s J n F 1 b 3 Q 7 Q 2 9 s d W 1 u Q 2 9 1 b n Q m c X V v d D s 6 N S w m c X V v d D t L Z X l D b 2 x 1 b W 5 O Y W 1 l c y Z x d W 9 0 O z p b X S w m c X V v d D t D b 2 x 1 b W 5 J Z G V u d G l 0 a W V z J n F 1 b 3 Q 7 O l s m c X V v d D t T Z W N 0 a W 9 u M S 9 w Z X J m b 3 J t Y W 5 j Z S 9 D a G F u Z 2 V k I F R 5 c G U u e 0 N h c m Q g S U Q s M H 0 m c X V v d D s s J n F 1 b 3 Q 7 U 2 V j d G l v b j E v c G V y Z m 9 y b W F u Y 2 U v Q 2 h h b m d l Z C B U e X B l L n t N b 2 5 0 a C w x f S Z x d W 9 0 O y w m c X V v d D t T Z W N 0 a W 9 u M S 9 w Z X J m b 3 J t Y W 5 j Z S 9 D a G F u Z 2 V k I F R 5 c G U u e 0 N 5 Y 2 x l L D J 9 J n F 1 b 3 Q 7 L C Z x d W 9 0 O 1 N l Y 3 R p b 2 4 x L 3 B l c m Z v c m 1 h b m N l L 0 N o Y W 5 n Z W Q g V H l w Z S 5 7 Q m F s Y W 5 j Z S w z f S Z x d W 9 0 O y w m c X V v d D t T Z W N 0 a W 9 u M S 9 w Z X J m b 3 J t Y W 5 j Z S 9 D a G F u Z 2 V k I F R 5 c G U u e 0 N y Z W R p d C B M a W 1 p d C w 0 f S Z x d W 9 0 O 1 0 s J n F 1 b 3 Q 7 U m V s Y X R p b 2 5 z a G l w S W 5 m b y Z x d W 9 0 O z p b X X 0 i I C 8 + P E V u d H J 5 I F R 5 c G U 9 I k F k Z G V k V G 9 E Y X R h T W 9 k Z W w i I F Z h b H V l P S J s M S I g L z 4 8 L 1 N 0 Y W J s Z U V u d H J p Z X M + P C 9 J d G V t P j x J d G V t P j x J d G V t T G 9 j Y X R p b 2 4 + P E l 0 Z W 1 U e X B l P k Z v c m 1 1 b G E 8 L 0 l 0 Z W 1 U e X B l P j x J d G V t U G F 0 a D 5 T Z W N 0 a W 9 u M S 9 w Z X J m b 3 J t Y W 5 j Z S 9 T b 3 V y Y 2 U 8 L 0 l 0 Z W 1 Q Y X R o P j w v S X R l b U x v Y 2 F 0 a W 9 u P j x T d G F i b G V F b n R y a W V z I C 8 + P C 9 J d G V t P j x J d G V t P j x J d G V t T G 9 j Y X R p b 2 4 + P E l 0 Z W 1 U e X B l P k Z v c m 1 1 b G E 8 L 0 l 0 Z W 1 U e X B l P j x J d G V t U G F 0 a D 5 T Z W N 0 a W 9 u M S 9 w Z X J m b 3 J t Y W 5 j Z S 9 Q c m 9 t b 3 R l Z C U y M E h l Y W R l c n M 8 L 0 l 0 Z W 1 Q Y X R o P j w v S X R l b U x v Y 2 F 0 a W 9 u P j x T d G F i b G V F b n R y a W V z I C 8 + P C 9 J d G V t P j x J d G V t P j x J d G V t T G 9 j Y X R p b 2 4 + P E l 0 Z W 1 U e X B l P k Z v c m 1 1 b G E 8 L 0 l 0 Z W 1 U e X B l P j x J d G V t U G F 0 a D 5 T Z W N 0 a W 9 u M S 9 w Z X J m b 3 J t Y W 5 j Z S 9 D a G F u Z 2 V k J T I w V H l w Z T w v S X R l b V B h d G g + P C 9 J d G V t T G 9 j Y X R p b 2 4 + P F N 0 Y W J s Z U V u d H J p Z X M g L z 4 8 L 0 l 0 Z W 0 + P E l 0 Z W 0 + P E l 0 Z W 1 M b 2 N h d G l v b j 4 8 S X R l b V R 5 c G U + R m 9 y b X V s Y T w v S X R l b V R 5 c G U + P E l 0 Z W 1 Q Y X R o P l N l Y 3 R p b 2 4 x L 2 F w c G x p Y 2 F 0 a W 9 u 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E i I C 8 + P E V u d H J 5 I F R 5 c G U 9 I k 5 h d m l n Y X R p b 2 5 T d G V w T m F t Z S I g V m F s d W U 9 I n N O Y X Z p Z 2 F 0 a W 9 u I i A v P j x F b n R y e S B U e X B l P S J G a W x s Z W R D b 2 1 w b G V 0 Z V J l c 3 V s d F R v V 2 9 y a 3 N o Z W V 0 I i B W Y W x 1 Z T 0 i b D A i I C 8 + P E V u d H J 5 I F R 5 c G U 9 I k Z p b G x M Y X N 0 V X B k Y X R l Z C I g V m F s d W U 9 I m Q y M D I 0 L T A 5 L T I 1 V D E 4 O j E 4 O j U 4 L j U z O D c x N T N a I i A v P j x F b n R y e S B U e X B l P S J G a W x s Q 2 9 s d W 1 u V H l w Z X M i I F Z h b H V l P S J z Q m d r R 0 J R T T 0 i I C 8 + P E V u d H J 5 I F R 5 c G U 9 I k Z p b G x D b 2 x 1 b W 5 O Y W 1 l c y I g V m F s d W U 9 I n N b J n F 1 b 3 Q 7 Q 2 F y Z C B J R C Z x d W 9 0 O y w m c X V v d D t P c G V u I E 1 v b n R o J n F 1 b 3 Q 7 L C Z x d W 9 0 O 1 B y b 3 Z p b m N l J n F 1 b 3 Q 7 L C Z x d W 9 0 O 0 R l Y n Q g U 2 V y d m l j Z S B S Y X R p b y Z x d W 9 0 O y w m c X V v d D t D c m V k a X Q g U 2 N v c m 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h c H B s a W N h d G l v b l 9 y Z W N v c m Q v Q 2 h h b m d l Z C B U e X B l L n t D Y X J k I E l E L D B 9 J n F 1 b 3 Q 7 L C Z x d W 9 0 O 1 N l Y 3 R p b 2 4 x L 2 F w c G x p Y 2 F 0 a W 9 u X 3 J l Y 2 9 y Z C 9 D a G F u Z 2 V k I F R 5 c G U u e 0 9 w Z W 4 g T W 9 u d G g s M X 0 m c X V v d D s s J n F 1 b 3 Q 7 U 2 V j d G l v b j E v Y X B w b G l j Y X R p b 2 5 f c m V j b 3 J k L 0 N o Y W 5 n Z W Q g V H l w Z S 5 7 U H J v d m l u Y 2 U s M n 0 m c X V v d D s s J n F 1 b 3 Q 7 U 2 V j d G l v b j E v Y X B w b G l j Y X R p b 2 5 f c m V j b 3 J k L 0 N o Y W 5 n Z W Q g V H l w Z S 5 7 R G V i d C B T Z X J 2 a W N l I F J h d G l v L D N 9 J n F 1 b 3 Q 7 L C Z x d W 9 0 O 1 N l Y 3 R p b 2 4 x L 2 F w c G x p Y 2 F 0 a W 9 u X 3 J l Y 2 9 y Z C 9 D a G F u Z 2 V k I F R 5 c G U u e 0 N y Z W R p d C B T Y 2 9 y Z S w 0 f S Z x d W 9 0 O 1 0 s J n F 1 b 3 Q 7 Q 2 9 s d W 1 u Q 2 9 1 b n Q m c X V v d D s 6 N S w m c X V v d D t L Z X l D b 2 x 1 b W 5 O Y W 1 l c y Z x d W 9 0 O z p b X S w m c X V v d D t D b 2 x 1 b W 5 J Z G V u d G l 0 a W V z J n F 1 b 3 Q 7 O l s m c X V v d D t T Z W N 0 a W 9 u M S 9 h c H B s a W N h d G l v b l 9 y Z W N v c m Q v Q 2 h h b m d l Z C B U e X B l L n t D Y X J k I E l E L D B 9 J n F 1 b 3 Q 7 L C Z x d W 9 0 O 1 N l Y 3 R p b 2 4 x L 2 F w c G x p Y 2 F 0 a W 9 u X 3 J l Y 2 9 y Z C 9 D a G F u Z 2 V k I F R 5 c G U u e 0 9 w Z W 4 g T W 9 u d G g s M X 0 m c X V v d D s s J n F 1 b 3 Q 7 U 2 V j d G l v b j E v Y X B w b G l j Y X R p b 2 5 f c m V j b 3 J k L 0 N o Y W 5 n Z W Q g V H l w Z S 5 7 U H J v d m l u Y 2 U s M n 0 m c X V v d D s s J n F 1 b 3 Q 7 U 2 V j d G l v b j E v Y X B w b G l j Y X R p b 2 5 f c m V j b 3 J k L 0 N o Y W 5 n Z W Q g V H l w Z S 5 7 R G V i d C B T Z X J 2 a W N l I F J h d G l v L D N 9 J n F 1 b 3 Q 7 L C Z x d W 9 0 O 1 N l Y 3 R p b 2 4 x L 2 F w c G x p Y 2 F 0 a W 9 u X 3 J l Y 2 9 y Z C 9 D a G F u Z 2 V k I F R 5 c G U u e 0 N y Z W R p d C B T Y 2 9 y Z S w 0 f S Z x d W 9 0 O 1 0 s J n F 1 b 3 Q 7 U m V s Y X R p b 2 5 z a G l w S W 5 m b y Z x d W 9 0 O z p b X X 0 i I C 8 + P E V u d H J 5 I F R 5 c G U 9 I l F 1 Z X J 5 S U Q i I F Z h b H V l P S J z N z M 2 Z D I 4 N G U t Y W Q z M C 0 0 N T E 0 L W I 3 M j k t M T U z Y m Q 1 N W N l Y j g 5 I i A v P j x F b n R y e S B U e X B l P S J G a W x s R X J y b 3 J D b 2 R l I i B W Y W x 1 Z T 0 i c 1 V u a 2 5 v d 2 4 i I C 8 + P E V u d H J 5 I F R 5 c G U 9 I k F k Z G V k V G 9 E Y X R h T W 9 k Z W w i I F Z h b H V l P S J s M C I g L z 4 8 L 1 N 0 Y W J s Z U V u d H J p Z X M + P C 9 J d G V t P j x J d G V t P j x J d G V t T G 9 j Y X R p b 2 4 + P E l 0 Z W 1 U e X B l P k Z v c m 1 1 b G E 8 L 0 l 0 Z W 1 U e X B l P j x J d G V t U G F 0 a D 5 T Z W N 0 a W 9 u M S 9 h c H B s a W N h d G l v b i 9 T b 3 V y Y 2 U 8 L 0 l 0 Z W 1 Q Y X R o P j w v S X R l b U x v Y 2 F 0 a W 9 u P j x T d G F i b G V F b n R y a W V z I C 8 + P C 9 J d G V t P j x J d G V t P j x J d G V t T G 9 j Y X R p b 2 4 + P E l 0 Z W 1 U e X B l P k Z v c m 1 1 b G E 8 L 0 l 0 Z W 1 U e X B l P j x J d G V t U G F 0 a D 5 T Z W N 0 a W 9 u M S 9 h c H B s a W N h d G l v b i 9 Q c m 9 t b 3 R l Z C U y M E h l Y W R l c n M 8 L 0 l 0 Z W 1 Q Y X R o P j w v S X R l b U x v Y 2 F 0 a W 9 u P j x T d G F i b G V F b n R y a W V z I C 8 + P C 9 J d G V t P j x J d G V t P j x J d G V t T G 9 j Y X R p b 2 4 + P E l 0 Z W 1 U e X B l P k Z v c m 1 1 b G E 8 L 0 l 0 Z W 1 U e X B l P j x J d G V t U G F 0 a D 5 T Z W N 0 a W 9 u M S 9 h c H B s a W N h d G l v b i 9 D a G F u Z 2 V k J T I w V H l w Z T w v S X R l b V B h d G g + P C 9 J d G V t T G 9 j Y X R p b 2 4 + P F N 0 Y W J s Z U V u d H J p Z X M g L z 4 8 L 0 l 0 Z W 0 + P E l 0 Z W 0 + P E l 0 Z W 1 M b 2 N h d G l v b j 4 8 S X R l b V R 5 c G U + R m 9 y b X V s Y T w v S X R l b V R 5 c G U + P E l 0 Z W 1 Q Y X R o P l N l Y 3 R p b 2 4 x L 2 F w c G x p Y 2 F 0 a W 9 u X 3 V u a X F 1 Z T w v S X R l b V B h d G g + P C 9 J d G V t T G 9 j Y X R p b 2 4 + P F N 0 Y W J s Z U V u d H J p Z X M + P E V u d H J 5 I F R 5 c G U 9 I k l z U H J p d m F 0 Z S I g V m F s d W U 9 I m w w I i A v P j x F b n R y e S B U e X B l P S J G a W x s R W 5 h Y m x l Z C I g V m F s d W U 9 I m w w I i A v P j x F b n R y e S B U e X B l P S J G a W x s R X J y b 3 J D b 3 V u d 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T g 2 M j I i I C 8 + P E V u d H J 5 I F R 5 c G U 9 I k Z p b G x F c n J v c k N v Z G U i I F Z h b H V l P S J z V W 5 r b m 9 3 b i I g L z 4 8 R W 5 0 c n k g V H l w Z T 0 i R m l s b F R v R G F 0 Y U 1 v Z G V s R W 5 h Y m x l Z C I g V m F s d W U 9 I m w x I i A v P j x F b n R y e S B U e X B l P S J G a W x s T 2 J q Z W N 0 V H l w Z S I g V m F s d W U 9 I n N D b 2 5 u Z W N 0 a W 9 u T 2 5 s e S I g L z 4 8 R W 5 0 c n k g V H l w Z T 0 i U X V l c n l J R C I g V m F s d W U 9 I n M 3 Y T M y Z D F k Y y 0 w N T E y L T Q z M z Y t Y j g w Z S 0 2 M T A 3 N D M 4 Y W F m N z I i I C 8 + P E V u d H J 5 I F R 5 c G U 9 I k Z p b G x M Y X N 0 V X B k Y X R l Z C I g V m F s d W U 9 I m Q y M D I 0 L T A 5 L T I 1 V D E 4 O j E 4 O j U 4 L j I 3 N T k 4 N D F a I i A v P j x F b n R y e S B U e X B l P S J G a W x s Q 2 9 s d W 1 u V H l w Z X M i I F Z h b H V l P S J z Q m d r R 0 J R T T 0 i I C 8 + P E V u d H J 5 I F R 5 c G U 9 I k Z p b G x D b 2 x 1 b W 5 O Y W 1 l c y I g V m F s d W U 9 I n N b J n F 1 b 3 Q 7 Q 2 F y Z C B J R C Z x d W 9 0 O y w m c X V v d D t N b 2 5 0 a C B P c G V u Z W Q m c X V v d D s s J n F 1 b 3 Q 7 U H J v d m l u Y 2 U m c X V v d D s s J n F 1 b 3 Q 7 R G V i d C B T Z X J 2 a W N l I F J h d G l v J n F 1 b 3 Q 7 L C Z x d W 9 0 O 0 N y Z W R p d C B T Y 2 9 y Z S Z x d W 9 0 O 1 0 i I C 8 + P E V u d H J 5 I F R 5 c G U 9 I k Z p b G x T d G F 0 d X M i I F Z h b H V l P S J z Q 2 9 t c G x l d G U i I C 8 + P E V u d H J 5 I F R 5 c G U 9 I l J l b G F 0 a W 9 u c 2 h p c E l u Z m 9 D b 2 5 0 Y W l u Z X I i I F Z h b H V l P S J z e y Z x d W 9 0 O 2 N v b H V t b k N v d W 5 0 J n F 1 b 3 Q 7 O j U s J n F 1 b 3 Q 7 a 2 V 5 Q 2 9 s d W 1 u T m F t Z X M m c X V v d D s 6 W y Z x d W 9 0 O 0 N h c m Q g S U Q m c X V v d D t d L C Z x d W 9 0 O 3 F 1 Z X J 5 U m V s Y X R p b 2 5 z a G l w c y Z x d W 9 0 O z p b X S w m c X V v d D t j b 2 x 1 b W 5 J Z G V u d G l 0 a W V z J n F 1 b 3 Q 7 O l s m c X V v d D t T Z W N 0 a W 9 u M S 9 h c H B s a W N h d G l v b i 9 D a G F u Z 2 V k I F R 5 c G U u e 0 N h c m Q g S U Q s M H 0 m c X V v d D s s J n F 1 b 3 Q 7 U 2 V j d G l v b j E v Y X B w b G l j Y X R p b 2 4 v Q 2 h h b m d l Z C B U e X B l L n t N b 2 5 0 a C B P c G V u Z W Q s M X 0 m c X V v d D s s J n F 1 b 3 Q 7 U 2 V j d G l v b j E v Y X B w b G l j Y X R p b 2 4 v Q 2 h h b m d l Z C B U e X B l L n t Q c m 9 2 a W 5 j Z S w y f S Z x d W 9 0 O y w m c X V v d D t T Z W N 0 a W 9 u M S 9 h c H B s a W N h d G l v b i 9 D a G F u Z 2 V k I F R 5 c G U u e 0 R l Y n Q g U 2 V y d m l j Z S B S Y X R p b y w z f S Z x d W 9 0 O y w m c X V v d D t T Z W N 0 a W 9 u M S 9 h c H B s a W N h d G l v b i 9 D a G F u Z 2 V k I F R 5 c G U u e 0 N y Z W R p d C B T Y 2 9 y Z S w 0 f S Z x d W 9 0 O 1 0 s J n F 1 b 3 Q 7 Q 2 9 s d W 1 u Q 2 9 1 b n Q m c X V v d D s 6 N S w m c X V v d D t L Z X l D b 2 x 1 b W 5 O Y W 1 l c y Z x d W 9 0 O z p b J n F 1 b 3 Q 7 Q 2 F y Z C B J R C Z x d W 9 0 O 1 0 s J n F 1 b 3 Q 7 Q 2 9 s d W 1 u S W R l b n R p d G l l c y Z x d W 9 0 O z p b J n F 1 b 3 Q 7 U 2 V j d G l v b j E v Y X B w b G l j Y X R p b 2 4 v Q 2 h h b m d l Z C B U e X B l L n t D Y X J k I E l E L D B 9 J n F 1 b 3 Q 7 L C Z x d W 9 0 O 1 N l Y 3 R p b 2 4 x L 2 F w c G x p Y 2 F 0 a W 9 u L 0 N o Y W 5 n Z W Q g V H l w Z S 5 7 T W 9 u d G g g T 3 B l b m V k L D F 9 J n F 1 b 3 Q 7 L C Z x d W 9 0 O 1 N l Y 3 R p b 2 4 x L 2 F w c G x p Y 2 F 0 a W 9 u L 0 N o Y W 5 n Z W Q g V H l w Z S 5 7 U H J v d m l u Y 2 U s M n 0 m c X V v d D s s J n F 1 b 3 Q 7 U 2 V j d G l v b j E v Y X B w b G l j Y X R p b 2 4 v Q 2 h h b m d l Z C B U e X B l L n t E Z W J 0 I F N l c n Z p Y 2 U g U m F 0 a W 8 s M 3 0 m c X V v d D s s J n F 1 b 3 Q 7 U 2 V j d G l v b j E v Y X B w b G l j Y X R p b 2 4 v Q 2 h h b m d l Z C B U e X B l L n t D c m V k a X Q g U 2 N v c m U s N H 0 m c X V v d D t d L C Z x d W 9 0 O 1 J l b G F 0 a W 9 u c 2 h p c E l u Z m 8 m c X V v d D s 6 W 1 1 9 I i A v P j x F b n R y e S B U e X B l P S J B Z G R l Z F R v R G F 0 Y U 1 v Z G V s I i B W Y W x 1 Z T 0 i b D E i I C 8 + P C 9 T d G F i b G V F b n R y a W V z P j w v S X R l b T 4 8 S X R l b T 4 8 S X R l b U x v Y 2 F 0 a W 9 u P j x J d G V t V H l w Z T 5 G b 3 J t d W x h P C 9 J d G V t V H l w Z T 4 8 S X R l b V B h d G g + U 2 V j d G l v b j E v Y X B w b G l j Y X R p b 2 5 f d W 5 p c X V l L 1 N v d X J j Z T w v S X R l b V B h d G g + P C 9 J d G V t T G 9 j Y X R p b 2 4 + P F N 0 Y W J s Z U V u d H J p Z X M g L z 4 8 L 0 l 0 Z W 0 + P E l 0 Z W 0 + P E l 0 Z W 1 M b 2 N h d G l v b j 4 8 S X R l b V R 5 c G U + R m 9 y b X V s Y T w v S X R l b V R 5 c G U + P E l 0 Z W 1 Q Y X R o P l N l Y 3 R p b 2 4 x L 2 F w c G x p Y 2 F 0 a W 9 u X 3 V u a X F 1 Z S 9 S Z W 1 v d m V k J T I w R H V w b G l j Y X R l c z w v S X R l b V B h d G g + P C 9 J d G V t T G 9 j Y X R p b 2 4 + P F N 0 Y W J s Z U V u d H J p Z X M g L z 4 8 L 0 l 0 Z W 0 + P E l 0 Z W 0 + P E l 0 Z W 1 M b 2 N h d G l v b j 4 8 S X R l b V R 5 c G U + R m 9 y b X V s Y T w v S X R l b V R 5 c G U + P E l 0 Z W 1 Q Y X R o P l N l Y 3 R p b 2 4 x L 2 F w c G x p Y 2 F 0 a W 9 u X 2 R 1 c G x p Y 2 F 0 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S I g L z 4 8 R W 5 0 c n k g V H l w Z T 0 i T m F 2 a W d h d G l v b l N 0 Z X B O Y W 1 l I i B W Y W x 1 Z T 0 i c 0 5 h d m l n Y X R p b 2 4 i I C 8 + P E V u d H J 5 I F R 5 c G U 9 I k Z p b G x l Z E N v b X B s Z X R l U m V z d W x 0 V G 9 X b 3 J r c 2 h l Z X Q i I F Z h b H V l P S J s M C I g L z 4 8 R W 5 0 c n k g V H l w Z T 0 i R m l s b E N v b H V t b l R 5 c G V z I i B W Y W x 1 Z T 0 i c 0 J n a 0 d C U U 0 9 I i A v P j x F b n R y e S B U e X B l P S J G a W x s T G F z d F V w Z G F 0 Z W Q i I F Z h b H V l P S J k M j A y N C 0 w O S 0 y N V Q x O D o x O D o 1 O C 4 1 N j I 3 N D c x W i I g L z 4 8 R W 5 0 c n k g V H l w Z T 0 i R m l s b E V y c m 9 y Q 2 9 k Z S I g V m F s d W U 9 I n N V b m t u b 3 d u I i A v P j x F b n R y e S B U e X B l P S J B Z G R l Z F R v R G F 0 Y U 1 v Z G V s I i B W Y W x 1 Z T 0 i b D A i I C 8 + P E V u d H J 5 I F R 5 c G U 9 I l F 1 Z X J 5 S U Q i I F Z h b H V l P S J z O W I x Y m J m Y j M t Y m Y 2 Y y 0 0 Y 2 I 0 L T g 1 Z D A t Y T I z Y z c z Z D E w M D E 2 I i A v P j x F b n R y e S B U e X B l P S J G a W x s Q 2 9 s d W 1 u T m F t Z X M i I F Z h b H V l P S J z W y Z x d W 9 0 O 0 N h c m Q g S U Q m c X V v d D s s J n F 1 b 3 Q 7 T 3 B l b i B N b 2 5 0 a C Z x d W 9 0 O y w m c X V v d D t Q c m 9 2 a W 5 j Z S Z x d W 9 0 O y w m c X V v d D t E Z W J 0 I F N l c n Z p Y 2 U g U m F 0 a W 8 m c X V v d D s s J n F 1 b 3 Q 7 Q 3 J l Z G l 0 I F N j b 3 J 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Y X B w b G l j Y X R p b 2 5 f c m V j b 3 J k L 0 N o Y W 5 n Z W Q g V H l w Z S 5 7 Q 2 F y Z C B J R C w w f S Z x d W 9 0 O y w m c X V v d D t T Z W N 0 a W 9 u M S 9 h c H B s a W N h d G l v b l 9 y Z W N v c m Q v Q 2 h h b m d l Z C B U e X B l L n t P c G V u I E 1 v b n R o L D F 9 J n F 1 b 3 Q 7 L C Z x d W 9 0 O 1 N l Y 3 R p b 2 4 x L 2 F w c G x p Y 2 F 0 a W 9 u X 3 J l Y 2 9 y Z C 9 D a G F u Z 2 V k I F R 5 c G U u e 1 B y b 3 Z p b m N l L D J 9 J n F 1 b 3 Q 7 L C Z x d W 9 0 O 1 N l Y 3 R p b 2 4 x L 2 F w c G x p Y 2 F 0 a W 9 u X 3 J l Y 2 9 y Z C 9 D a G F u Z 2 V k I F R 5 c G U u e 0 R l Y n Q g U 2 V y d m l j Z S B S Y X R p b y w z f S Z x d W 9 0 O y w m c X V v d D t T Z W N 0 a W 9 u M S 9 h c H B s a W N h d G l v b l 9 y Z W N v c m Q v Q 2 h h b m d l Z C B U e X B l L n t D c m V k a X Q g U 2 N v c m U s N H 0 m c X V v d D t d L C Z x d W 9 0 O 0 N v b H V t b k N v d W 5 0 J n F 1 b 3 Q 7 O j U s J n F 1 b 3 Q 7 S 2 V 5 Q 2 9 s d W 1 u T m F t Z X M m c X V v d D s 6 W 1 0 s J n F 1 b 3 Q 7 Q 2 9 s d W 1 u S W R l b n R p d G l l c y Z x d W 9 0 O z p b J n F 1 b 3 Q 7 U 2 V j d G l v b j E v Y X B w b G l j Y X R p b 2 5 f c m V j b 3 J k L 0 N o Y W 5 n Z W Q g V H l w Z S 5 7 Q 2 F y Z C B J R C w w f S Z x d W 9 0 O y w m c X V v d D t T Z W N 0 a W 9 u M S 9 h c H B s a W N h d G l v b l 9 y Z W N v c m Q v Q 2 h h b m d l Z C B U e X B l L n t P c G V u I E 1 v b n R o L D F 9 J n F 1 b 3 Q 7 L C Z x d W 9 0 O 1 N l Y 3 R p b 2 4 x L 2 F w c G x p Y 2 F 0 a W 9 u X 3 J l Y 2 9 y Z C 9 D a G F u Z 2 V k I F R 5 c G U u e 1 B y b 3 Z p b m N l L D J 9 J n F 1 b 3 Q 7 L C Z x d W 9 0 O 1 N l Y 3 R p b 2 4 x L 2 F w c G x p Y 2 F 0 a W 9 u X 3 J l Y 2 9 y Z C 9 D a G F u Z 2 V k I F R 5 c G U u e 0 R l Y n Q g U 2 V y d m l j Z S B S Y X R p b y w z f S Z x d W 9 0 O y w m c X V v d D t T Z W N 0 a W 9 u M S 9 h c H B s a W N h d G l v b l 9 y Z W N v c m Q v Q 2 h h b m d l Z C B U e X B l L n t D c m V k a X Q g U 2 N v c m U s N H 0 m c X V v d D t d L C Z x d W 9 0 O 1 J l b G F 0 a W 9 u c 2 h p c E l u Z m 8 m c X V v d D s 6 W 1 1 9 I i A v P j w v U 3 R h Y m x l R W 5 0 c m l l c z 4 8 L 0 l 0 Z W 0 + P E l 0 Z W 0 + P E l 0 Z W 1 M b 2 N h d G l v b j 4 8 S X R l b V R 5 c G U + R m 9 y b X V s Y T w v S X R l b V R 5 c G U + P E l 0 Z W 1 Q Y X R o P l N l Y 3 R p b 2 4 x L 2 F w c G x p Y 2 F 0 a W 9 u X 2 R 1 c G x p Y 2 F 0 Z X M v U 2 9 1 c m N l P C 9 J d G V t U G F 0 a D 4 8 L 0 l 0 Z W 1 M b 2 N h d G l v b j 4 8 U 3 R h Y m x l R W 5 0 c m l l c y A v P j w v S X R l b T 4 8 S X R l b T 4 8 S X R l b U x v Y 2 F 0 a W 9 u P j x J d G V t V H l w Z T 5 G b 3 J t d W x h P C 9 J d G V t V H l w Z T 4 8 S X R l b V B h d G g + U 2 V j d G l v b j E v Y X B w b G l j Y X R p b 2 5 f Z H V w b G l j Y X R l c y 9 L Z X B 0 J T I w R H V w b G l j Y X R l c z w v S X R l b V B h d G g + P C 9 J d G V t T G 9 j Y X R p b 2 4 + P F N 0 Y W J s Z U V u d H J p Z X M g L z 4 8 L 0 l 0 Z W 0 + P E l 0 Z W 0 + P E l 0 Z W 1 M b 2 N h d G l v b j 4 8 S X R l b V R 5 c G U + R m 9 y b X V s Y T w v S X R l b V R 5 c G U + P E l 0 Z W 1 Q Y X R o P l N l Y 3 R p b 2 4 x L 2 F w c G x p Y 2 F 0 a W 9 u X 2 R 1 c G x p Y 2 F 0 Z X M v U 2 9 y d G V k J T I w U m 9 3 c z w v S X R l b V B h d G g + P C 9 J d G V t T G 9 j Y X R p b 2 4 + P F N 0 Y W J s Z U V u d H J p Z X M g L z 4 8 L 0 l 0 Z W 0 + P C 9 J d G V t c z 4 8 L 0 x v Y 2 F s U G F j a 2 F n Z U 1 l d G F k Y X R h R m l s Z T 4 W A A A A U E s F B g A A A A A A A A A A A A A A A A A A A A A A A C Y B A A A B A A A A 0 I y d 3 w E V 0 R G M e g D A T 8 K X 6 w E A A A C 8 3 + 7 Y B H / U S L V + u Z M l 5 W 4 W A A A A A A I A A A A A A B B m A A A A A Q A A I A A A A F A k h d g w b s A Y 7 0 0 l Y n C P p t e o B L / L H n D A C G F j E Z S g A 9 7 l A A A A A A 6 A A A A A A g A A I A A A A M 2 k q u w W Z t o S 0 e L s / P N 5 w h h R X o K F q R A y a J k t K z v U s T I c U A A A A D s Q v w D 7 d D B V V g a 4 4 w A a N 6 V c M D J q Q 9 e O p N 6 y P h i 7 y 0 N r Y K q z L T h 0 9 l l i n J n Z 1 / P p V l 5 8 8 6 M Q z j w 3 U B V h n / L f N s F X d 8 q Z b g H g n X p b 7 h 0 W c 9 m 5 Q A A A A N 1 n N T 2 v 7 n d G p e j 4 h 1 r a s t u M e k G d h u T b T 9 m P I Y D G p + p X i / d Z E L f J g a 7 e u b G I C d R 5 8 T 1 V Y o a 6 J s K Z D O Y c C O 0 M A A s = < / D a t a M a s h u p > 
</file>

<file path=customXml/itemProps1.xml><?xml version="1.0" encoding="utf-8"?>
<ds:datastoreItem xmlns:ds="http://schemas.openxmlformats.org/officeDocument/2006/customXml" ds:itemID="{A6389FC7-47EA-43F9-86E0-0AFA48028994}">
  <ds:schemaRefs/>
</ds:datastoreItem>
</file>

<file path=customXml/itemProps10.xml><?xml version="1.0" encoding="utf-8"?>
<ds:datastoreItem xmlns:ds="http://schemas.openxmlformats.org/officeDocument/2006/customXml" ds:itemID="{CEFA46E7-1F05-404F-94A4-415CBD1A25D8}">
  <ds:schemaRefs/>
</ds:datastoreItem>
</file>

<file path=customXml/itemProps11.xml><?xml version="1.0" encoding="utf-8"?>
<ds:datastoreItem xmlns:ds="http://schemas.openxmlformats.org/officeDocument/2006/customXml" ds:itemID="{1A20A226-6A22-4C5C-A74F-DFAAA4152B3A}">
  <ds:schemaRefs/>
</ds:datastoreItem>
</file>

<file path=customXml/itemProps12.xml><?xml version="1.0" encoding="utf-8"?>
<ds:datastoreItem xmlns:ds="http://schemas.openxmlformats.org/officeDocument/2006/customXml" ds:itemID="{6F187864-9FE6-45A2-83C4-6EF410ACF8F3}">
  <ds:schemaRefs/>
</ds:datastoreItem>
</file>

<file path=customXml/itemProps13.xml><?xml version="1.0" encoding="utf-8"?>
<ds:datastoreItem xmlns:ds="http://schemas.openxmlformats.org/officeDocument/2006/customXml" ds:itemID="{A82D40F9-1F5E-4F36-9390-ADCD3C687803}">
  <ds:schemaRefs/>
</ds:datastoreItem>
</file>

<file path=customXml/itemProps14.xml><?xml version="1.0" encoding="utf-8"?>
<ds:datastoreItem xmlns:ds="http://schemas.openxmlformats.org/officeDocument/2006/customXml" ds:itemID="{C9372FAE-6BC4-456C-9EC5-9BD4C1B464F8}">
  <ds:schemaRefs/>
</ds:datastoreItem>
</file>

<file path=customXml/itemProps15.xml><?xml version="1.0" encoding="utf-8"?>
<ds:datastoreItem xmlns:ds="http://schemas.openxmlformats.org/officeDocument/2006/customXml" ds:itemID="{E7859055-7881-46C8-8F63-F8AE673D2698}">
  <ds:schemaRefs/>
</ds:datastoreItem>
</file>

<file path=customXml/itemProps16.xml><?xml version="1.0" encoding="utf-8"?>
<ds:datastoreItem xmlns:ds="http://schemas.openxmlformats.org/officeDocument/2006/customXml" ds:itemID="{6D08729A-D7BF-4F93-A8B3-7EF739FDDF82}">
  <ds:schemaRefs/>
</ds:datastoreItem>
</file>

<file path=customXml/itemProps17.xml><?xml version="1.0" encoding="utf-8"?>
<ds:datastoreItem xmlns:ds="http://schemas.openxmlformats.org/officeDocument/2006/customXml" ds:itemID="{F7AA6555-7504-40BE-B1DF-A3A31ED8D7DF}">
  <ds:schemaRefs/>
</ds:datastoreItem>
</file>

<file path=customXml/itemProps18.xml><?xml version="1.0" encoding="utf-8"?>
<ds:datastoreItem xmlns:ds="http://schemas.openxmlformats.org/officeDocument/2006/customXml" ds:itemID="{70AC67D8-6AEE-4475-A4C4-167BCF8E801A}">
  <ds:schemaRefs/>
</ds:datastoreItem>
</file>

<file path=customXml/itemProps19.xml><?xml version="1.0" encoding="utf-8"?>
<ds:datastoreItem xmlns:ds="http://schemas.openxmlformats.org/officeDocument/2006/customXml" ds:itemID="{DDC69D13-5A47-40C2-8B68-478840332B87}">
  <ds:schemaRefs/>
</ds:datastoreItem>
</file>

<file path=customXml/itemProps2.xml><?xml version="1.0" encoding="utf-8"?>
<ds:datastoreItem xmlns:ds="http://schemas.openxmlformats.org/officeDocument/2006/customXml" ds:itemID="{11F0F196-8515-41EB-978B-8A1457B136AB}">
  <ds:schemaRefs/>
</ds:datastoreItem>
</file>

<file path=customXml/itemProps20.xml><?xml version="1.0" encoding="utf-8"?>
<ds:datastoreItem xmlns:ds="http://schemas.openxmlformats.org/officeDocument/2006/customXml" ds:itemID="{632CFC56-79CA-4C43-BCBB-43130FD265AB}">
  <ds:schemaRefs/>
</ds:datastoreItem>
</file>

<file path=customXml/itemProps21.xml><?xml version="1.0" encoding="utf-8"?>
<ds:datastoreItem xmlns:ds="http://schemas.openxmlformats.org/officeDocument/2006/customXml" ds:itemID="{0530C16C-CC52-40FE-BA33-D8DFCEE8E89F}">
  <ds:schemaRefs/>
</ds:datastoreItem>
</file>

<file path=customXml/itemProps22.xml><?xml version="1.0" encoding="utf-8"?>
<ds:datastoreItem xmlns:ds="http://schemas.openxmlformats.org/officeDocument/2006/customXml" ds:itemID="{CB973CBF-4A25-49BD-B6F6-9D39B0905CD9}">
  <ds:schemaRefs/>
</ds:datastoreItem>
</file>

<file path=customXml/itemProps3.xml><?xml version="1.0" encoding="utf-8"?>
<ds:datastoreItem xmlns:ds="http://schemas.openxmlformats.org/officeDocument/2006/customXml" ds:itemID="{91052C8D-083E-41F4-8501-248DE4C5F220}">
  <ds:schemaRefs/>
</ds:datastoreItem>
</file>

<file path=customXml/itemProps4.xml><?xml version="1.0" encoding="utf-8"?>
<ds:datastoreItem xmlns:ds="http://schemas.openxmlformats.org/officeDocument/2006/customXml" ds:itemID="{27808C5E-058F-436D-BE38-E9F5E88F1B03}">
  <ds:schemaRefs/>
</ds:datastoreItem>
</file>

<file path=customXml/itemProps5.xml><?xml version="1.0" encoding="utf-8"?>
<ds:datastoreItem xmlns:ds="http://schemas.openxmlformats.org/officeDocument/2006/customXml" ds:itemID="{0C587FF7-B2EC-46E2-AB22-4FD19F60D969}">
  <ds:schemaRefs/>
</ds:datastoreItem>
</file>

<file path=customXml/itemProps6.xml><?xml version="1.0" encoding="utf-8"?>
<ds:datastoreItem xmlns:ds="http://schemas.openxmlformats.org/officeDocument/2006/customXml" ds:itemID="{2D34C8C8-9CD9-4A3F-8BFF-3237900A57CB}">
  <ds:schemaRefs/>
</ds:datastoreItem>
</file>

<file path=customXml/itemProps7.xml><?xml version="1.0" encoding="utf-8"?>
<ds:datastoreItem xmlns:ds="http://schemas.openxmlformats.org/officeDocument/2006/customXml" ds:itemID="{478FCE6D-D3B2-4C95-94E6-645302CEE237}">
  <ds:schemaRefs/>
</ds:datastoreItem>
</file>

<file path=customXml/itemProps8.xml><?xml version="1.0" encoding="utf-8"?>
<ds:datastoreItem xmlns:ds="http://schemas.openxmlformats.org/officeDocument/2006/customXml" ds:itemID="{F6E27D1E-A916-474C-A5A3-478AA46053A0}">
  <ds:schemaRefs/>
</ds:datastoreItem>
</file>

<file path=customXml/itemProps9.xml><?xml version="1.0" encoding="utf-8"?>
<ds:datastoreItem xmlns:ds="http://schemas.openxmlformats.org/officeDocument/2006/customXml" ds:itemID="{68C7A2C3-0E99-4C0A-AA5F-4D570880715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vt:lpstr>
      <vt:lpstr>Roll Rate 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Eric Liu</dc:creator>
  <cp:lastModifiedBy>ericjintaoliu@gmail.com</cp:lastModifiedBy>
  <dcterms:created xsi:type="dcterms:W3CDTF">2023-05-01T14:49:10Z</dcterms:created>
  <dcterms:modified xsi:type="dcterms:W3CDTF">2024-09-26T14:29:11Z</dcterms:modified>
</cp:coreProperties>
</file>